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lpha\personal$\Кузнецов_А\911\Рабочая папка\Ярлыки\Папка для временных документов\ХЛАМ\Калькуляторы\"/>
    </mc:Choice>
  </mc:AlternateContent>
  <xr:revisionPtr revIDLastSave="0" documentId="13_ncr:1_{A73F8B8E-8621-4863-8F07-D0CB81C50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ькулятор" sheetId="1" r:id="rId1"/>
    <sheet name="1" sheetId="2" r:id="rId2"/>
    <sheet name="2" sheetId="3" r:id="rId3"/>
    <sheet name="3" sheetId="4" r:id="rId4"/>
    <sheet name="4" sheetId="5" r:id="rId5"/>
  </sheets>
  <definedNames>
    <definedName name="_xlnm._FilterDatabase" localSheetId="4" hidden="1">'4'!#REF!</definedName>
    <definedName name="_xlnm._FilterDatabase" localSheetId="0" hidden="1">Калькулятор!$A$19:$P$27</definedName>
    <definedName name="BOEHT">'2'!$A$2:$A$26</definedName>
    <definedName name="Cedral">Калькулятор!$AG$2:$AG$28</definedName>
    <definedName name="CM_Bord">Калькулятор!$AH$2:$AH$4</definedName>
    <definedName name="Decover">Калькулятор!$AE$2:$AE$22</definedName>
    <definedName name="dvs">'4'!$D$4</definedName>
    <definedName name="Latonit">Калькулятор!$AF$2:$AF$10</definedName>
    <definedName name="mans">'4'!$D$5</definedName>
    <definedName name="no">'4'!$D$3</definedName>
    <definedName name="trap">'4'!$D$6</definedName>
    <definedName name="Бэтеко">Калькулятор!$AD$2:$AD$13</definedName>
    <definedName name="Фибратек">Калькулятор!$AC$2:$AC$3</definedName>
    <definedName name="Фото">INDIRECT(Калькулятор!$V$6)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0" i="1"/>
  <c r="F31" i="1"/>
  <c r="F32" i="1"/>
  <c r="F33" i="1"/>
  <c r="F34" i="1"/>
  <c r="F29" i="1"/>
  <c r="B37" i="1"/>
  <c r="B36" i="1"/>
  <c r="B34" i="1"/>
  <c r="B33" i="1"/>
  <c r="B32" i="1"/>
  <c r="B31" i="1"/>
  <c r="B30" i="1"/>
  <c r="B29" i="1"/>
  <c r="V6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2" i="1"/>
  <c r="AL18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G3" i="1" s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2" i="1"/>
  <c r="G2" i="1"/>
  <c r="B27" i="1"/>
  <c r="F27" i="1"/>
  <c r="L37" i="1" l="1"/>
  <c r="L36" i="1"/>
  <c r="L35" i="1"/>
  <c r="L33" i="1"/>
  <c r="L32" i="1"/>
  <c r="L31" i="1"/>
  <c r="L30" i="1"/>
  <c r="L29" i="1"/>
  <c r="L26" i="1"/>
  <c r="C14" i="4" l="1"/>
  <c r="I9" i="4" s="1"/>
  <c r="L45" i="1" s="1"/>
  <c r="C16" i="4"/>
  <c r="C15" i="4"/>
  <c r="C13" i="4"/>
  <c r="C12" i="4"/>
  <c r="F10" i="4" s="1"/>
  <c r="B46" i="1" s="1"/>
  <c r="C11" i="4"/>
  <c r="C5" i="4"/>
  <c r="F11" i="4" s="1"/>
  <c r="I12" i="4" s="1"/>
  <c r="L48" i="1" s="1"/>
  <c r="C4" i="4"/>
  <c r="F15" i="4" s="1"/>
  <c r="G15" i="4" s="1"/>
  <c r="B42" i="1"/>
  <c r="B43" i="1"/>
  <c r="B44" i="1"/>
  <c r="B45" i="1"/>
  <c r="F6" i="4"/>
  <c r="F5" i="4" l="1"/>
  <c r="B41" i="1" s="1"/>
  <c r="L44" i="1"/>
  <c r="H15" i="4"/>
  <c r="F12" i="4"/>
  <c r="B47" i="1"/>
  <c r="F14" i="4"/>
  <c r="B40" i="1"/>
  <c r="B51" i="1"/>
  <c r="G51" i="1" s="1"/>
  <c r="F16" i="4"/>
  <c r="G11" i="4"/>
  <c r="F13" i="4"/>
  <c r="H16" i="4" l="1"/>
  <c r="G16" i="4"/>
  <c r="B49" i="1"/>
  <c r="G49" i="1" s="1"/>
  <c r="G13" i="4"/>
  <c r="B50" i="1"/>
  <c r="G50" i="1" s="1"/>
  <c r="G14" i="4"/>
  <c r="B48" i="1"/>
  <c r="G48" i="1" s="1"/>
  <c r="G12" i="4"/>
  <c r="B52" i="1"/>
  <c r="B53" i="1" l="1"/>
  <c r="L53" i="1" s="1"/>
  <c r="G52" i="1"/>
  <c r="G53" i="1" l="1"/>
  <c r="M6" i="1" l="1"/>
  <c r="U14" i="1"/>
  <c r="U13" i="1" l="1"/>
  <c r="U12" i="1"/>
  <c r="U11" i="1"/>
  <c r="M12" i="1"/>
  <c r="M3" i="1"/>
  <c r="L27" i="1" l="1"/>
  <c r="L34" i="1"/>
  <c r="C10" i="4"/>
  <c r="C39" i="4" s="1"/>
  <c r="H5" i="4" s="1"/>
  <c r="H7" i="4" l="1"/>
  <c r="I7" i="4" s="1"/>
  <c r="L43" i="1" s="1"/>
  <c r="H4" i="4"/>
  <c r="I4" i="4" s="1"/>
  <c r="L40" i="1" s="1"/>
  <c r="H6" i="4"/>
  <c r="I6" i="4" s="1"/>
  <c r="L42" i="1" s="1"/>
  <c r="I15" i="4"/>
  <c r="L51" i="1" s="1"/>
  <c r="I16" i="4"/>
  <c r="L52" i="1" s="1"/>
  <c r="I5" i="4" l="1"/>
  <c r="L41" i="1" s="1"/>
  <c r="I13" i="4"/>
  <c r="L49" i="1" s="1"/>
  <c r="I14" i="4"/>
  <c r="L50" i="1" s="1"/>
  <c r="I10" i="4"/>
  <c r="L46" i="1" s="1"/>
  <c r="I11" i="4"/>
  <c r="L47" i="1" s="1"/>
</calcChain>
</file>

<file path=xl/sharedStrings.xml><?xml version="1.0" encoding="utf-8"?>
<sst xmlns="http://schemas.openxmlformats.org/spreadsheetml/2006/main" count="1137" uniqueCount="337">
  <si>
    <t>Наименование</t>
  </si>
  <si>
    <t>Snow</t>
  </si>
  <si>
    <t>Terracotta</t>
  </si>
  <si>
    <t>Tinto</t>
  </si>
  <si>
    <t>Silver</t>
  </si>
  <si>
    <t>Sandy</t>
  </si>
  <si>
    <t>Oliver</t>
  </si>
  <si>
    <t>Mystic</t>
  </si>
  <si>
    <t>Mokko</t>
  </si>
  <si>
    <t>Lazuro</t>
  </si>
  <si>
    <t>Gray</t>
  </si>
  <si>
    <t>Dark</t>
  </si>
  <si>
    <t>Cream</t>
  </si>
  <si>
    <t>Caramel</t>
  </si>
  <si>
    <t>Brown</t>
  </si>
  <si>
    <t>Bordo</t>
  </si>
  <si>
    <t>Для чего</t>
  </si>
  <si>
    <t xml:space="preserve">Монтируется на подсистему по периметру здания, задает угол наклона первой доски. </t>
  </si>
  <si>
    <t xml:space="preserve">Для защиты от попадания в подсистему грызунов и насекомых, устанавливается по всему периметру здания, а также над окнами и дверьми 100мм/30мм. </t>
  </si>
  <si>
    <t xml:space="preserve">Для декорирования внешних углов. </t>
  </si>
  <si>
    <t xml:space="preserve">Для декорирования оконных и дверных проемов. </t>
  </si>
  <si>
    <t xml:space="preserve">Для декорирования внутренних углов. </t>
  </si>
  <si>
    <t xml:space="preserve">Для защиты обрешетки на стыках досок от влаги и внешних воздействий
60х1мм. </t>
  </si>
  <si>
    <t>RAL 9001</t>
  </si>
  <si>
    <t>RAL 9016</t>
  </si>
  <si>
    <t>RAL 9003</t>
  </si>
  <si>
    <t>Красный</t>
  </si>
  <si>
    <t>RAL 1001</t>
  </si>
  <si>
    <t>RAL 1015</t>
  </si>
  <si>
    <t>RAL 1019</t>
  </si>
  <si>
    <t>RAL 5021</t>
  </si>
  <si>
    <t>RAL 5024</t>
  </si>
  <si>
    <t>RAL 6021</t>
  </si>
  <si>
    <t>RAL 6009</t>
  </si>
  <si>
    <t>RAL 7016</t>
  </si>
  <si>
    <t>RAL 7024</t>
  </si>
  <si>
    <t>RAL 7047</t>
  </si>
  <si>
    <t>RAL 7004</t>
  </si>
  <si>
    <t>RAL 8007</t>
  </si>
  <si>
    <t>RAL 8017</t>
  </si>
  <si>
    <t>RAL 8019</t>
  </si>
  <si>
    <t>RAL 8023</t>
  </si>
  <si>
    <t>RAL 8028</t>
  </si>
  <si>
    <t>RAL 9011</t>
  </si>
  <si>
    <t>Бренд</t>
  </si>
  <si>
    <t>Фирменный цвет</t>
  </si>
  <si>
    <t>Белый</t>
  </si>
  <si>
    <t>Серый</t>
  </si>
  <si>
    <t>Фибратек</t>
  </si>
  <si>
    <t>Бэтеко</t>
  </si>
  <si>
    <t>Цвет дэ RAL гладкий</t>
  </si>
  <si>
    <t>Цвет дэ RAL матовый</t>
  </si>
  <si>
    <t>Decover</t>
  </si>
  <si>
    <t>Latonit</t>
  </si>
  <si>
    <t>Слоновая кость</t>
  </si>
  <si>
    <t>Лазурно-синий</t>
  </si>
  <si>
    <t>Серебристо-серый</t>
  </si>
  <si>
    <t>Махагон</t>
  </si>
  <si>
    <t>С01</t>
  </si>
  <si>
    <t>С07</t>
  </si>
  <si>
    <t>С51</t>
  </si>
  <si>
    <t>С11</t>
  </si>
  <si>
    <t>С08</t>
  </si>
  <si>
    <t>С03</t>
  </si>
  <si>
    <t>С02</t>
  </si>
  <si>
    <t>С06</t>
  </si>
  <si>
    <t>С31</t>
  </si>
  <si>
    <t>С57</t>
  </si>
  <si>
    <t>С58</t>
  </si>
  <si>
    <t>С59</t>
  </si>
  <si>
    <t>С15</t>
  </si>
  <si>
    <t>С52</t>
  </si>
  <si>
    <t>С10</t>
  </si>
  <si>
    <t>С62</t>
  </si>
  <si>
    <t>С05</t>
  </si>
  <si>
    <t>С04</t>
  </si>
  <si>
    <t>С55</t>
  </si>
  <si>
    <t>С32</t>
  </si>
  <si>
    <t>С30</t>
  </si>
  <si>
    <t>С61</t>
  </si>
  <si>
    <t>С19</t>
  </si>
  <si>
    <t>С18</t>
  </si>
  <si>
    <t>С50</t>
  </si>
  <si>
    <t>Cedral</t>
  </si>
  <si>
    <t>CM Bord</t>
  </si>
  <si>
    <t>Темно-серый</t>
  </si>
  <si>
    <t>Коричневый</t>
  </si>
  <si>
    <t>RAL 3005</t>
  </si>
  <si>
    <t>RAL 3009</t>
  </si>
  <si>
    <t>RAL 3011</t>
  </si>
  <si>
    <t>RAL 5005</t>
  </si>
  <si>
    <t>RAL 6005</t>
  </si>
  <si>
    <t>RAL 8004</t>
  </si>
  <si>
    <t>RAL 9005</t>
  </si>
  <si>
    <t>RAL 9006</t>
  </si>
  <si>
    <t>RR 32</t>
  </si>
  <si>
    <t>RAL 1014</t>
  </si>
  <si>
    <t>RAL 1018</t>
  </si>
  <si>
    <t>RAL 2004</t>
  </si>
  <si>
    <t>RAL 5002</t>
  </si>
  <si>
    <t>RAL 6002</t>
  </si>
  <si>
    <t>RAL 7005</t>
  </si>
  <si>
    <t>Гладкие</t>
  </si>
  <si>
    <t>Матовые</t>
  </si>
  <si>
    <t>RR 33</t>
  </si>
  <si>
    <t>Группа цвета</t>
  </si>
  <si>
    <t>Бежевый</t>
  </si>
  <si>
    <t>Голубой</t>
  </si>
  <si>
    <t>Зеленый</t>
  </si>
  <si>
    <t>Черный</t>
  </si>
  <si>
    <t xml:space="preserve"> - </t>
  </si>
  <si>
    <t>Графитовый серый</t>
  </si>
  <si>
    <t>Бренд↓</t>
  </si>
  <si>
    <t>Цвет↓</t>
  </si>
  <si>
    <t>в тон</t>
  </si>
  <si>
    <t>белый</t>
  </si>
  <si>
    <t>темный</t>
  </si>
  <si>
    <t>Темные</t>
  </si>
  <si>
    <t>Фасад</t>
  </si>
  <si>
    <t>Ширина стены, м</t>
  </si>
  <si>
    <t>Высота стены, м</t>
  </si>
  <si>
    <t>Высота углов</t>
  </si>
  <si>
    <t>шт↓</t>
  </si>
  <si>
    <t>Внешние углы, м</t>
  </si>
  <si>
    <t>Внутренние углы, м</t>
  </si>
  <si>
    <t>Проемы</t>
  </si>
  <si>
    <t>Окно №1</t>
  </si>
  <si>
    <t>Окно №2</t>
  </si>
  <si>
    <t>Ширина, м</t>
  </si>
  <si>
    <t>Высота, м</t>
  </si>
  <si>
    <t>На стене есть фронтон?</t>
  </si>
  <si>
    <t>Трапецевидная</t>
  </si>
  <si>
    <t>Двускатная</t>
  </si>
  <si>
    <t>Мансардная</t>
  </si>
  <si>
    <t>h, м</t>
  </si>
  <si>
    <t>h1, м</t>
  </si>
  <si>
    <t>W, м</t>
  </si>
  <si>
    <t>h2, м</t>
  </si>
  <si>
    <t>W1, м</t>
  </si>
  <si>
    <t>W2, м</t>
  </si>
  <si>
    <t>гипотенузы</t>
  </si>
  <si>
    <t>гипотензы малая</t>
  </si>
  <si>
    <t>гипотензы большая</t>
  </si>
  <si>
    <t>При сочетании разных отделочных материалов на фасаде, при завершении угла с одной стороны.</t>
  </si>
  <si>
    <t>Завершенный угол, м</t>
  </si>
  <si>
    <t>Облицовка фасада</t>
  </si>
  <si>
    <t>длина</t>
  </si>
  <si>
    <t>высота</t>
  </si>
  <si>
    <t>Тип монтажа↓</t>
  </si>
  <si>
    <t>Ёлочка</t>
  </si>
  <si>
    <t>елка</t>
  </si>
  <si>
    <t>встык</t>
  </si>
  <si>
    <t>Подбор цвета планок</t>
  </si>
  <si>
    <t>Окно №3</t>
  </si>
  <si>
    <t>Окно №4</t>
  </si>
  <si>
    <t>Окно №5</t>
  </si>
  <si>
    <t>Окно №6</t>
  </si>
  <si>
    <t>Дверь№1</t>
  </si>
  <si>
    <t>Дверь№2</t>
  </si>
  <si>
    <t>Матовое покрытие</t>
  </si>
  <si>
    <t>Глянцевое покрытие</t>
  </si>
  <si>
    <t>Фибросайдинг Горизонт</t>
  </si>
  <si>
    <t>Планка начальная 3 м</t>
  </si>
  <si>
    <t>Планка околооконная  3 м</t>
  </si>
  <si>
    <t>Планка угла внешнего простая  3 м</t>
  </si>
  <si>
    <t>Планка угла внешнего сложная 3 м</t>
  </si>
  <si>
    <t>Отлив оконный  3 м</t>
  </si>
  <si>
    <t>Планка угла внутреннего сложная 3 м</t>
  </si>
  <si>
    <t>Планка угла внутреннего простая 3 м</t>
  </si>
  <si>
    <t>j-профиль 18 мм 3 м</t>
  </si>
  <si>
    <t>Планка стыковочная простая 3 м</t>
  </si>
  <si>
    <t>Планка стыковочная сложная 3 м</t>
  </si>
  <si>
    <t>Планка финишная 46*25 3 м</t>
  </si>
  <si>
    <t>-</t>
  </si>
  <si>
    <t>Планкен Горизонт</t>
  </si>
  <si>
    <t>Планка П-образная 3 м</t>
  </si>
  <si>
    <t>Аквапанель Горизонт</t>
  </si>
  <si>
    <t>Фибросайдинг ВЕРТИКАЛЬ</t>
  </si>
  <si>
    <t>Планка Н-образная 75мм/стыковочная сложная 3 м</t>
  </si>
  <si>
    <t>Планка угла внешнего сложного 75*75  3 м</t>
  </si>
  <si>
    <t>Планка угла внутреннего сложного 90° 3 м</t>
  </si>
  <si>
    <t>Планка стыковочная 60мм 3 м</t>
  </si>
  <si>
    <t>Планка угла внутреннего 50*50  3 м</t>
  </si>
  <si>
    <t>Планка угла внешнего 50*50  3 м</t>
  </si>
  <si>
    <t>Планка приемная оконная 3 м</t>
  </si>
  <si>
    <t>Планка угла внутренного сложная 75мм 3 м</t>
  </si>
  <si>
    <t>Планкен ВЕРТИКАЛЬ</t>
  </si>
  <si>
    <t>Стартово-финишная планка  3 м</t>
  </si>
  <si>
    <t>Стыковочная составная верхняя 3 м</t>
  </si>
  <si>
    <t>Стыковочная составная нижняя 3 м</t>
  </si>
  <si>
    <t>Планка угла внутреннего составная верхняя  3 м</t>
  </si>
  <si>
    <t>Планка угла внутреннего составная нижняя  3 м</t>
  </si>
  <si>
    <t>Планка угла внешнего составная верхняя  3 м</t>
  </si>
  <si>
    <t>Планка угла внешнего составная нижняя  3 м</t>
  </si>
  <si>
    <t>Аквапанель ВЕРТИКАЛЬ</t>
  </si>
  <si>
    <t>Планка стартовая  3 м</t>
  </si>
  <si>
    <t>Планка финишная  3 м</t>
  </si>
  <si>
    <t>Планка стыковочная  3 м</t>
  </si>
  <si>
    <t>Планка угла внешнего  3 м</t>
  </si>
  <si>
    <t>Планка угла внутреннего  3 м</t>
  </si>
  <si>
    <t>Планка П-образная  3 м</t>
  </si>
  <si>
    <t>Планка финишная/приемная  3 м</t>
  </si>
  <si>
    <t>Планка стартовая Стальная штукатурка 3 м</t>
  </si>
  <si>
    <t>Планка стыковочная 60мм  3 м</t>
  </si>
  <si>
    <t>Карнизная планка на фальц</t>
  </si>
  <si>
    <t>Планка начальная фальц</t>
  </si>
  <si>
    <t>Планка торцевая фасадная фальц</t>
  </si>
  <si>
    <t>Планка финишная 46*25</t>
  </si>
  <si>
    <t>Планка крепежная</t>
  </si>
  <si>
    <t>Отлив простой</t>
  </si>
  <si>
    <t>Планка завершающая фальц</t>
  </si>
  <si>
    <t>Стартовая планка</t>
  </si>
  <si>
    <t>Финишная планка</t>
  </si>
  <si>
    <t>Н-профиль соеденитеьлный</t>
  </si>
  <si>
    <t>J-фаска (ветровая доска)</t>
  </si>
  <si>
    <t>Околооконная планка</t>
  </si>
  <si>
    <t>J-профиль широкий (наличник)</t>
  </si>
  <si>
    <t>Наружный угог</t>
  </si>
  <si>
    <t>Внутренний угол</t>
  </si>
  <si>
    <t>Профиль J универсальный</t>
  </si>
  <si>
    <t>Планка (наличник) наборная</t>
  </si>
  <si>
    <t>Планка радиусная</t>
  </si>
  <si>
    <t>Планка приоконная широкая</t>
  </si>
  <si>
    <t>Угол прямой ЯФАСАД</t>
  </si>
  <si>
    <t>Стартовый элемент</t>
  </si>
  <si>
    <t>Стартовая планка металлическая</t>
  </si>
  <si>
    <t>Стартовая планка пластиковая</t>
  </si>
  <si>
    <t>Стартовый элемент для угла ПП</t>
  </si>
  <si>
    <t>монтаж нфс</t>
  </si>
  <si>
    <t>нфс горизонт</t>
  </si>
  <si>
    <t>нфс вертикал</t>
  </si>
  <si>
    <t>монтаж панелей</t>
  </si>
  <si>
    <t>шумка</t>
  </si>
  <si>
    <t>шаг угла</t>
  </si>
  <si>
    <t>Вертикальная</t>
  </si>
  <si>
    <t>горизонтальный</t>
  </si>
  <si>
    <t>Горизонтальная</t>
  </si>
  <si>
    <t>вертикальный</t>
  </si>
  <si>
    <t>Шумоизолирующую ленту под фальц 3 мм</t>
  </si>
  <si>
    <t>Шумоизолирующую ленту под фальц 5 мм</t>
  </si>
  <si>
    <t>толщина утеплителя</t>
  </si>
  <si>
    <t>до 6</t>
  </si>
  <si>
    <t>до 12</t>
  </si>
  <si>
    <t>более 12</t>
  </si>
  <si>
    <t>Крепление стеновое усиленное AR П90х90х105Пр ОЦ (131888,280898)</t>
  </si>
  <si>
    <t>Крепление стеновое усиленное AR П120х90х105Пр ОЦ (158465,124002)</t>
  </si>
  <si>
    <t>Крепление стеновое усиленное AR П150х90х105Пр ОЦ (152130,364480)</t>
  </si>
  <si>
    <t>Крепление стеновое усиленное AR П180х90х105Пр ОЦ (123905,124695)</t>
  </si>
  <si>
    <t>Крепление стеновое усиленное AR П200х90х105Пр ОЦ (152131)</t>
  </si>
  <si>
    <t>Крепление стеновое усиленное AR П230х90х105Пр ОЦ (124724)</t>
  </si>
  <si>
    <t>Крепление стеновое усиленное AR П250х90х105Пр ОЦ (171589)</t>
  </si>
  <si>
    <t>Удленитель крепления стенового AR УКС 150 ОЦ (123863) 1,5мм</t>
  </si>
  <si>
    <t>Кликфальц  Pro</t>
  </si>
  <si>
    <t>Кликфальц  Pro Fin</t>
  </si>
  <si>
    <t>Двойной стоячий фальц</t>
  </si>
  <si>
    <t>Кликфальц</t>
  </si>
  <si>
    <t>Кликфальц mini</t>
  </si>
  <si>
    <t>Толщина утеплителя 50, 70, 100, 130, 150, 180, 200, 250 мм, если нет - 0</t>
  </si>
  <si>
    <t>Материал стены</t>
  </si>
  <si>
    <t>Толщина утеплителя, если нет - 0</t>
  </si>
  <si>
    <t>Выбрать варианты из списка</t>
  </si>
  <si>
    <t xml:space="preserve">ед. </t>
  </si>
  <si>
    <t>кол-во</t>
  </si>
  <si>
    <t>всего</t>
  </si>
  <si>
    <t>Выбрать фасадный материал</t>
  </si>
  <si>
    <t>Навесная фасадная система</t>
  </si>
  <si>
    <t>шт.</t>
  </si>
  <si>
    <t>м.п.</t>
  </si>
  <si>
    <t>Профиль горизонтальный основной AR ГО 40х40х1,2 ОЦ ОН (135512)</t>
  </si>
  <si>
    <t>Внести площадь фасада и длину элементов</t>
  </si>
  <si>
    <t>Профиль горизонтальный основной AR ГО 40х40х1,2 ОЦ ОН (135512), для внешних углов</t>
  </si>
  <si>
    <t>Профиль горизонтальный основной AR ГО 40х60х1,2 ОЦ ОН (137031), для обрамления проемов</t>
  </si>
  <si>
    <t>Площадь фронтонов без проемов, м2</t>
  </si>
  <si>
    <t>шт</t>
  </si>
  <si>
    <t>Периметр здания,м</t>
  </si>
  <si>
    <t>Площадь оконных и дверных проемов в стенах, м2</t>
  </si>
  <si>
    <t>Сумма длин 3х сторон оконных и дверных проемов, м.п.</t>
  </si>
  <si>
    <t>Количество внешних углов, шт</t>
  </si>
  <si>
    <t>Погонаж внешних углов, м</t>
  </si>
  <si>
    <t>Справочная информация</t>
  </si>
  <si>
    <t>Система НФС</t>
  </si>
  <si>
    <t xml:space="preserve">Шаг по горизонтали определяется размером и раскладкой облицовки </t>
  </si>
  <si>
    <t>мм</t>
  </si>
  <si>
    <t>Шаг кронштейнов по вертикали (зависит от расчетной нагрузки на фасадный анкер)</t>
  </si>
  <si>
    <t>Примечание</t>
  </si>
  <si>
    <t>Выбор анкера будет зависеть от результатов испытаний на вырыв.</t>
  </si>
  <si>
    <t>Точный расчет будет выполнен, после получения проекта рабочей документации и спецификации.</t>
  </si>
  <si>
    <t>При выборе 2-х слойного утепления Дюбель для утеплителя подбирается индивидуально в зависимости от количества и толщины слоев утепления</t>
  </si>
  <si>
    <t xml:space="preserve"> Если Фибросайдинг Горизонт</t>
  </si>
  <si>
    <t>то Вертикальная система НФС</t>
  </si>
  <si>
    <t>Площадь фасада c оконными и дверными проемами м2</t>
  </si>
  <si>
    <t xml:space="preserve"> Если Фибросайдинг ВЕРТИКАЛЬ</t>
  </si>
  <si>
    <t>то Горизонтальная система НФС</t>
  </si>
  <si>
    <t>Подсистема для монтажа фиброцементного сайдинга</t>
  </si>
  <si>
    <t>Препятствует возникновению коррозии металла в месте контакта крепежного кронштейна со стеной и снижает влияние мостика холода.</t>
  </si>
  <si>
    <t>Предназначен для создания несущего каркаса в вертикальной системе.</t>
  </si>
  <si>
    <t>Для монтажа несущих профилей.</t>
  </si>
  <si>
    <t>Предназначен для создания несущего каркаса в горизонтально-вертикальной (перекрестной) системе.</t>
  </si>
  <si>
    <t>Универсальный крепежный элемент. В конструкциях фасадных систем применяется для соединения элементов между собой.</t>
  </si>
  <si>
    <t>Предназначен для крепления кронштейна к стене.</t>
  </si>
  <si>
    <t>газобетон от D500</t>
  </si>
  <si>
    <t>Нет</t>
  </si>
  <si>
    <t>Доборные элементы необходимые для монтажа сайдинга</t>
  </si>
  <si>
    <t>Корректор для ремонта царапин</t>
  </si>
  <si>
    <t>Применятеся для обработки царапин</t>
  </si>
  <si>
    <t>CM_Bord</t>
  </si>
  <si>
    <t>Матовые покрытия</t>
  </si>
  <si>
    <t>Drap</t>
  </si>
  <si>
    <t>Drap ST</t>
  </si>
  <si>
    <t>Drap TX</t>
  </si>
  <si>
    <t>Drap-double TX</t>
  </si>
  <si>
    <t>GreenCoat Pural BT, matt</t>
  </si>
  <si>
    <t>PurPro</t>
  </si>
  <si>
    <t>Rooftop Бархат</t>
  </si>
  <si>
    <t>Satin</t>
  </si>
  <si>
    <t>Satin Matt</t>
  </si>
  <si>
    <t>Satin Matt TX</t>
  </si>
  <si>
    <t>Velur X</t>
  </si>
  <si>
    <t>3 м</t>
  </si>
  <si>
    <t>3,6 м</t>
  </si>
  <si>
    <t>Лента ЭПДМ
(Уплотнитель ЭЗУ 400\2) , длина 30 м</t>
  </si>
  <si>
    <t>1 шт</t>
  </si>
  <si>
    <t>Стена 1</t>
  </si>
  <si>
    <t>Стена 2</t>
  </si>
  <si>
    <t>Стена 3</t>
  </si>
  <si>
    <t>Стена 4</t>
  </si>
  <si>
    <t>Покрытие металлических планок→</t>
  </si>
  <si>
    <t>Монтируется в местах примыкания к окну. Применяется только для сайдинга Cedral</t>
  </si>
  <si>
    <t>Для монтажа откосов с боков и верха окна используется приемная планка окна. Применяется для всех видов сайдинга, кроме Cedral</t>
  </si>
  <si>
    <t>dvs</t>
  </si>
  <si>
    <t>mans</t>
  </si>
  <si>
    <t>trap</t>
  </si>
  <si>
    <t>Название</t>
  </si>
  <si>
    <t>ИД</t>
  </si>
  <si>
    <t>Картинка</t>
  </si>
  <si>
    <t>no</t>
  </si>
  <si>
    <t>Цвет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</si>
</sst>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"/>
  </numFmts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12"/>
      <name val="Open Sans"/>
      <family val="2"/>
      <charset val="204"/>
    </font>
    <font>
      <b/>
      <sz val="12"/>
      <name val="Open Sans"/>
      <family val="2"/>
      <charset val="204"/>
    </font>
    <font>
      <b/>
      <sz val="10"/>
      <name val="Arial Cyr"/>
      <charset val="204"/>
    </font>
    <font>
      <b/>
      <sz val="10"/>
      <name val="Open Sans"/>
      <family val="2"/>
      <charset val="204"/>
    </font>
    <font>
      <sz val="10"/>
      <name val="Open Sans"/>
      <family val="2"/>
      <charset val="204"/>
    </font>
    <font>
      <sz val="12"/>
      <color theme="0"/>
      <name val="Open Sans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Open Sans"/>
      <family val="2"/>
      <charset val="204"/>
    </font>
    <font>
      <b/>
      <sz val="12"/>
      <color rgb="FF000000"/>
      <name val="Open Sans"/>
      <family val="2"/>
      <charset val="204"/>
    </font>
    <font>
      <b/>
      <sz val="10"/>
      <color theme="1"/>
      <name val="Open Sans"/>
      <family val="2"/>
      <charset val="204"/>
    </font>
    <font>
      <b/>
      <u/>
      <sz val="10"/>
      <name val="Open Sans"/>
      <family val="2"/>
      <charset val="204"/>
    </font>
    <font>
      <sz val="10"/>
      <color indexed="8"/>
      <name val="Open Sans"/>
      <family val="2"/>
      <charset val="204"/>
    </font>
    <font>
      <b/>
      <i/>
      <sz val="10"/>
      <color indexed="8"/>
      <name val="Open Sans"/>
      <family val="2"/>
      <charset val="204"/>
    </font>
    <font>
      <u/>
      <sz val="10"/>
      <color theme="10"/>
      <name val="Arial Cyr"/>
      <charset val="204"/>
    </font>
    <font>
      <b/>
      <sz val="14"/>
      <name val="Open Sans"/>
      <family val="2"/>
      <charset val="204"/>
    </font>
    <font>
      <sz val="14"/>
      <name val="Open Sans"/>
      <family val="2"/>
      <charset val="204"/>
    </font>
    <font>
      <u/>
      <sz val="14"/>
      <color theme="10"/>
      <name val="Open Sans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theme="2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1" fillId="0" borderId="0"/>
    <xf numFmtId="0" fontId="17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49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0" xfId="0" applyNumberFormat="1" applyFont="1"/>
    <xf numFmtId="0" fontId="1" fillId="0" borderId="0" xfId="2" applyAlignment="1">
      <alignment horizontal="center" vertical="center"/>
    </xf>
    <xf numFmtId="0" fontId="1" fillId="0" borderId="0" xfId="2"/>
    <xf numFmtId="0" fontId="11" fillId="0" borderId="0" xfId="3" applyAlignment="1">
      <alignment horizontal="left"/>
    </xf>
    <xf numFmtId="0" fontId="13" fillId="0" borderId="0" xfId="3" applyFont="1" applyAlignment="1">
      <alignment horizontal="center" vertical="center"/>
    </xf>
    <xf numFmtId="0" fontId="11" fillId="0" borderId="0" xfId="3" applyAlignment="1">
      <alignment horizontal="left" vertical="center"/>
    </xf>
    <xf numFmtId="0" fontId="1" fillId="0" borderId="0" xfId="2" applyAlignment="1">
      <alignment horizontal="left"/>
    </xf>
    <xf numFmtId="0" fontId="1" fillId="0" borderId="0" xfId="2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/>
    <xf numFmtId="0" fontId="14" fillId="0" borderId="9" xfId="2" applyFont="1" applyBorder="1" applyAlignment="1" applyProtection="1">
      <alignment vertical="center" wrapText="1"/>
      <protection locked="0"/>
    </xf>
    <xf numFmtId="0" fontId="11" fillId="0" borderId="0" xfId="2" applyFont="1" applyProtection="1"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1" fillId="0" borderId="0" xfId="2" applyFont="1"/>
    <xf numFmtId="0" fontId="13" fillId="0" borderId="0" xfId="2" applyFont="1" applyAlignment="1" applyProtection="1">
      <alignment horizontal="left" vertical="center" indent="1"/>
      <protection locked="0"/>
    </xf>
    <xf numFmtId="0" fontId="7" fillId="0" borderId="10" xfId="2" applyFont="1" applyBorder="1" applyAlignment="1" applyProtection="1">
      <alignment horizontal="center" vertical="center" wrapText="1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13" fillId="5" borderId="1" xfId="2" applyFont="1" applyFill="1" applyBorder="1" applyAlignment="1" applyProtection="1">
      <alignment vertical="center"/>
      <protection locked="0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vertical="center" wrapText="1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2" fontId="8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13" fillId="0" borderId="0" xfId="2" applyFont="1" applyAlignment="1">
      <alignment vertical="center"/>
    </xf>
    <xf numFmtId="0" fontId="7" fillId="0" borderId="0" xfId="2" applyFont="1" applyAlignment="1" applyProtection="1">
      <alignment horizontal="center" vertical="center"/>
      <protection locked="0"/>
    </xf>
    <xf numFmtId="0" fontId="11" fillId="0" borderId="1" xfId="2" applyFont="1" applyBorder="1"/>
    <xf numFmtId="0" fontId="11" fillId="0" borderId="1" xfId="2" applyFont="1" applyBorder="1" applyAlignment="1">
      <alignment horizontal="center"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1" fontId="11" fillId="0" borderId="1" xfId="2" applyNumberFormat="1" applyFont="1" applyBorder="1" applyAlignment="1">
      <alignment horizontal="center"/>
    </xf>
    <xf numFmtId="0" fontId="13" fillId="0" borderId="0" xfId="2" applyFont="1" applyAlignment="1">
      <alignment horizontal="left" vertical="center" indent="1"/>
    </xf>
    <xf numFmtId="0" fontId="8" fillId="5" borderId="1" xfId="2" applyFont="1" applyFill="1" applyBorder="1" applyAlignment="1" applyProtection="1">
      <alignment horizontal="left" vertical="center"/>
      <protection locked="0"/>
    </xf>
    <xf numFmtId="2" fontId="11" fillId="0" borderId="0" xfId="2" applyNumberFormat="1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left" vertical="center" indent="1"/>
      <protection locked="0"/>
    </xf>
    <xf numFmtId="0" fontId="7" fillId="0" borderId="0" xfId="2" applyFont="1" applyAlignment="1" applyProtection="1">
      <alignment vertical="center" wrapText="1"/>
      <protection locked="0"/>
    </xf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13" fillId="0" borderId="0" xfId="2" applyFont="1"/>
    <xf numFmtId="0" fontId="8" fillId="5" borderId="1" xfId="2" applyFont="1" applyFill="1" applyBorder="1" applyAlignment="1" applyProtection="1">
      <alignment horizontal="left" vertical="center" wrapText="1"/>
      <protection locked="0"/>
    </xf>
    <xf numFmtId="3" fontId="16" fillId="0" borderId="0" xfId="2" applyNumberFormat="1" applyFont="1" applyProtection="1">
      <protection locked="0"/>
    </xf>
    <xf numFmtId="0" fontId="15" fillId="0" borderId="0" xfId="2" applyFont="1" applyAlignment="1" applyProtection="1">
      <alignment vertical="center" wrapText="1"/>
      <protection locked="0"/>
    </xf>
    <xf numFmtId="0" fontId="15" fillId="0" borderId="0" xfId="2" applyFont="1" applyProtection="1"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4" borderId="1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164" fontId="19" fillId="0" borderId="5" xfId="0" applyNumberFormat="1" applyFont="1" applyBorder="1" applyAlignment="1">
      <alignment horizontal="left" vertical="center" wrapText="1" shrinkToFit="1"/>
    </xf>
    <xf numFmtId="164" fontId="19" fillId="0" borderId="1" xfId="0" applyNumberFormat="1" applyFont="1" applyBorder="1" applyAlignment="1">
      <alignment horizontal="left" vertical="center" wrapText="1" shrinkToFit="1"/>
    </xf>
    <xf numFmtId="0" fontId="18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3" xfId="4" applyFont="1" applyBorder="1" applyAlignment="1">
      <alignment vertical="center"/>
    </xf>
    <xf numFmtId="0" fontId="20" fillId="0" borderId="4" xfId="4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0" fillId="0" borderId="3" xfId="4" applyFont="1" applyBorder="1" applyAlignment="1">
      <alignment horizontal="left" vertical="center" wrapText="1"/>
    </xf>
    <xf numFmtId="0" fontId="20" fillId="0" borderId="4" xfId="4" applyFont="1" applyBorder="1" applyAlignment="1">
      <alignment horizontal="left" vertical="center" wrapText="1"/>
    </xf>
    <xf numFmtId="0" fontId="20" fillId="0" borderId="3" xfId="4" applyFont="1" applyBorder="1" applyAlignment="1">
      <alignment horizontal="left" vertical="center" wrapText="1" shrinkToFit="1"/>
    </xf>
    <xf numFmtId="0" fontId="20" fillId="0" borderId="4" xfId="4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20" fillId="0" borderId="3" xfId="4" applyFont="1" applyBorder="1" applyAlignment="1">
      <alignment horizontal="left" vertical="center"/>
    </xf>
    <xf numFmtId="0" fontId="20" fillId="0" borderId="4" xfId="4" applyFont="1" applyBorder="1" applyAlignment="1">
      <alignment horizontal="left" vertical="center"/>
    </xf>
    <xf numFmtId="164" fontId="20" fillId="0" borderId="3" xfId="4" applyNumberFormat="1" applyFont="1" applyBorder="1" applyAlignment="1">
      <alignment horizontal="left" vertical="center" wrapText="1" shrinkToFit="1"/>
    </xf>
    <xf numFmtId="164" fontId="20" fillId="0" borderId="4" xfId="4" applyNumberFormat="1" applyFont="1" applyBorder="1" applyAlignment="1">
      <alignment horizontal="left" vertical="center" wrapText="1" shrinkToFit="1"/>
    </xf>
    <xf numFmtId="165" fontId="8" fillId="6" borderId="3" xfId="2" applyNumberFormat="1" applyFont="1" applyFill="1" applyBorder="1" applyAlignment="1" applyProtection="1">
      <alignment horizontal="center" vertical="center"/>
      <protection locked="0"/>
    </xf>
    <xf numFmtId="165" fontId="8" fillId="6" borderId="5" xfId="2" applyNumberFormat="1" applyFont="1" applyFill="1" applyBorder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left" vertical="center" wrapText="1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3" xfId="2" applyFont="1" applyBorder="1" applyAlignment="1" applyProtection="1">
      <alignment horizontal="left" vertical="center"/>
      <protection locked="0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8" fillId="0" borderId="3" xfId="2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3" xfId="2" applyFont="1" applyFill="1" applyBorder="1" applyAlignment="1" applyProtection="1">
      <alignment horizontal="center" vertical="center"/>
      <protection locked="0"/>
    </xf>
    <xf numFmtId="0" fontId="8" fillId="0" borderId="5" xfId="2" applyFont="1" applyFill="1" applyBorder="1" applyAlignment="1" applyProtection="1">
      <alignment horizontal="center" vertical="center"/>
      <protection locked="0"/>
    </xf>
  </cellXfs>
  <cellStyles count="5">
    <cellStyle name="Гиперссылка" xfId="4" builtinId="8"/>
    <cellStyle name="Гиперссылка 2" xfId="1" xr:uid="{00000000-0005-0000-0000-000000000000}"/>
    <cellStyle name="Обычный" xfId="0" builtinId="0"/>
    <cellStyle name="Обычный 2" xfId="2" xr:uid="{BD467E90-56FC-44FA-B186-9DA5E137B635}"/>
    <cellStyle name="Обычный 2 2" xfId="3" xr:uid="{B914A6D8-6509-46F8-9BFB-3588EB3A34DB}"/>
  </cellStyles>
  <dxfs count="11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Open Sans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Open Sans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6" tint="0.39994506668294322"/>
        </patternFill>
      </fill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59996337778862885"/>
        </patternFill>
      </fill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6" tint="0.59996337778862885"/>
        </patternFill>
      </fill>
    </dxf>
    <dxf>
      <font>
        <color theme="1"/>
      </font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289431</xdr:colOff>
      <xdr:row>1</xdr:row>
      <xdr:rowOff>13529</xdr:rowOff>
    </xdr:from>
    <xdr:ext cx="272510" cy="30187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779886D-D43D-4CD8-9E14-82C4A3F7B271}"/>
            </a:ext>
          </a:extLst>
        </xdr:cNvPr>
        <xdr:cNvSpPr txBox="1"/>
      </xdr:nvSpPr>
      <xdr:spPr>
        <a:xfrm>
          <a:off x="289431" y="327294"/>
          <a:ext cx="272510" cy="301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</a:t>
          </a:r>
        </a:p>
      </xdr:txBody>
    </xdr:sp>
    <xdr:clientData/>
  </xdr:oneCellAnchor>
  <xdr:oneCellAnchor>
    <xdr:from>
      <xdr:col>3</xdr:col>
      <xdr:colOff>756077</xdr:colOff>
      <xdr:row>1</xdr:row>
      <xdr:rowOff>26336</xdr:rowOff>
    </xdr:from>
    <xdr:ext cx="272510" cy="30187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4E43B3A-58FA-46ED-A6E3-DC669E28CD78}"/>
            </a:ext>
          </a:extLst>
        </xdr:cNvPr>
        <xdr:cNvSpPr txBox="1"/>
      </xdr:nvSpPr>
      <xdr:spPr>
        <a:xfrm>
          <a:off x="6675184" y="339300"/>
          <a:ext cx="272510" cy="301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</a:t>
          </a:r>
          <a:endParaRPr lang="ru-RU" sz="1200" b="1">
            <a:solidFill>
              <a:srgbClr val="FF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oneCellAnchor>
  <xdr:oneCellAnchor>
    <xdr:from>
      <xdr:col>0</xdr:col>
      <xdr:colOff>289431</xdr:colOff>
      <xdr:row>13</xdr:row>
      <xdr:rowOff>59149</xdr:rowOff>
    </xdr:from>
    <xdr:ext cx="272510" cy="30187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E2CBC52-CF6D-4F56-9CD1-44A4265512E6}"/>
            </a:ext>
          </a:extLst>
        </xdr:cNvPr>
        <xdr:cNvSpPr txBox="1"/>
      </xdr:nvSpPr>
      <xdr:spPr>
        <a:xfrm>
          <a:off x="289431" y="3230414"/>
          <a:ext cx="272510" cy="301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4</a:t>
          </a:r>
          <a:endParaRPr lang="ru-RU" sz="1200" b="1">
            <a:solidFill>
              <a:srgbClr val="FF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oneCellAnchor>
  <xdr:oneCellAnchor>
    <xdr:from>
      <xdr:col>0</xdr:col>
      <xdr:colOff>289431</xdr:colOff>
      <xdr:row>20</xdr:row>
      <xdr:rowOff>194505</xdr:rowOff>
    </xdr:from>
    <xdr:ext cx="272510" cy="30187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CD3C85E-58AA-4667-A68F-9E2DA9904533}"/>
            </a:ext>
          </a:extLst>
        </xdr:cNvPr>
        <xdr:cNvSpPr txBox="1"/>
      </xdr:nvSpPr>
      <xdr:spPr>
        <a:xfrm>
          <a:off x="289431" y="4934593"/>
          <a:ext cx="272510" cy="301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5</a:t>
          </a:r>
          <a:endParaRPr lang="ru-RU" sz="1200" b="1">
            <a:solidFill>
              <a:srgbClr val="FF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oneCellAnchor>
  <xdr:oneCellAnchor>
    <xdr:from>
      <xdr:col>0</xdr:col>
      <xdr:colOff>289431</xdr:colOff>
      <xdr:row>5</xdr:row>
      <xdr:rowOff>49306</xdr:rowOff>
    </xdr:from>
    <xdr:ext cx="272510" cy="30187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C2AC52F-B9CA-4326-A9AC-277E008BE605}"/>
            </a:ext>
          </a:extLst>
        </xdr:cNvPr>
        <xdr:cNvSpPr txBox="1"/>
      </xdr:nvSpPr>
      <xdr:spPr>
        <a:xfrm>
          <a:off x="289431" y="1427630"/>
          <a:ext cx="272510" cy="301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3</a:t>
          </a:r>
        </a:p>
      </xdr:txBody>
    </xdr:sp>
    <xdr:clientData/>
  </xdr:oneCellAnchor>
  <xdr:oneCellAnchor>
    <xdr:from>
      <xdr:col>6</xdr:col>
      <xdr:colOff>1230639</xdr:colOff>
      <xdr:row>3</xdr:row>
      <xdr:rowOff>360959</xdr:rowOff>
    </xdr:from>
    <xdr:ext cx="272510" cy="301878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409F0D8-C646-4392-ABA5-FEB80EFA1531}"/>
            </a:ext>
          </a:extLst>
        </xdr:cNvPr>
        <xdr:cNvSpPr txBox="1"/>
      </xdr:nvSpPr>
      <xdr:spPr>
        <a:xfrm>
          <a:off x="11985230" y="1122959"/>
          <a:ext cx="272510" cy="3018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 b="1">
              <a:solidFill>
                <a:srgbClr val="FF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6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122463</xdr:colOff>
          <xdr:row>13</xdr:row>
          <xdr:rowOff>190499</xdr:rowOff>
        </xdr:from>
        <xdr:to>
          <xdr:col>11</xdr:col>
          <xdr:colOff>1561081</xdr:colOff>
          <xdr:row>25</xdr:row>
          <xdr:rowOff>110198</xdr:rowOff>
        </xdr:to>
        <xdr:pic>
          <xdr:nvPicPr>
            <xdr:cNvPr id="34" name="Рисунок 33">
              <a:extLst>
                <a:ext uri="{FF2B5EF4-FFF2-40B4-BE49-F238E27FC236}">
                  <a16:creationId xmlns:a16="http://schemas.microsoft.com/office/drawing/2014/main" id="{E408DCDC-CC9C-4CFC-8EE2-764CBD412E82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Фото" spid="_x0000_s106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7757320" y="3442606"/>
              <a:ext cx="3109823" cy="2695556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4</xdr:row>
      <xdr:rowOff>266700</xdr:rowOff>
    </xdr:from>
    <xdr:to>
      <xdr:col>6</xdr:col>
      <xdr:colOff>581025</xdr:colOff>
      <xdr:row>4</xdr:row>
      <xdr:rowOff>457200</xdr:rowOff>
    </xdr:to>
    <xdr:pic>
      <xdr:nvPicPr>
        <xdr:cNvPr id="2" name="Изображения 5">
          <a:extLst>
            <a:ext uri="{FF2B5EF4-FFF2-40B4-BE49-F238E27FC236}">
              <a16:creationId xmlns:a16="http://schemas.microsoft.com/office/drawing/2014/main" id="{04EC158F-2326-4E4D-970B-FB11BF4A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87300" y="1152525"/>
          <a:ext cx="266700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5</xdr:col>
      <xdr:colOff>66675</xdr:colOff>
      <xdr:row>10</xdr:row>
      <xdr:rowOff>200025</xdr:rowOff>
    </xdr:from>
    <xdr:to>
      <xdr:col>5</xdr:col>
      <xdr:colOff>613064</xdr:colOff>
      <xdr:row>11</xdr:row>
      <xdr:rowOff>0</xdr:rowOff>
    </xdr:to>
    <xdr:pic>
      <xdr:nvPicPr>
        <xdr:cNvPr id="3" name="Рисунок 28" descr="Без названия.jpg">
          <a:extLst>
            <a:ext uri="{FF2B5EF4-FFF2-40B4-BE49-F238E27FC236}">
              <a16:creationId xmlns:a16="http://schemas.microsoft.com/office/drawing/2014/main" id="{C2687995-DEEC-41BC-955B-2240D4BC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8000" y="2295525"/>
          <a:ext cx="54638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5486400</xdr:colOff>
      <xdr:row>16</xdr:row>
      <xdr:rowOff>264543</xdr:rowOff>
    </xdr:from>
    <xdr:to>
      <xdr:col>8</xdr:col>
      <xdr:colOff>771525</xdr:colOff>
      <xdr:row>35</xdr:row>
      <xdr:rowOff>126315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B66A076-23AD-45C6-8969-98051F4C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277725" y="3703068"/>
          <a:ext cx="2276475" cy="3681297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</xdr:colOff>
      <xdr:row>16</xdr:row>
      <xdr:rowOff>352425</xdr:rowOff>
    </xdr:from>
    <xdr:to>
      <xdr:col>5</xdr:col>
      <xdr:colOff>4171950</xdr:colOff>
      <xdr:row>36</xdr:row>
      <xdr:rowOff>49985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1237215-4BB8-4242-AE00-B6330684F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48474" y="3790950"/>
          <a:ext cx="4114801" cy="3707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133906</xdr:colOff>
      <xdr:row>2</xdr:row>
      <xdr:rowOff>61836</xdr:rowOff>
    </xdr:from>
    <xdr:to>
      <xdr:col>3</xdr:col>
      <xdr:colOff>1438668</xdr:colOff>
      <xdr:row>2</xdr:row>
      <xdr:rowOff>1366598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DBFA2E3-DE42-4166-B76F-F5EDCC692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7206" y="519036"/>
          <a:ext cx="1304762" cy="1304762"/>
        </a:xfrm>
        <a:prstGeom prst="rect">
          <a:avLst/>
        </a:prstGeom>
      </xdr:spPr>
    </xdr:pic>
    <xdr:clientData fPrintsWithSheet="0"/>
  </xdr:twoCellAnchor>
  <xdr:twoCellAnchor editAs="absolute">
    <xdr:from>
      <xdr:col>3</xdr:col>
      <xdr:colOff>84690</xdr:colOff>
      <xdr:row>5</xdr:row>
      <xdr:rowOff>67936</xdr:rowOff>
    </xdr:from>
    <xdr:to>
      <xdr:col>3</xdr:col>
      <xdr:colOff>1506935</xdr:colOff>
      <xdr:row>5</xdr:row>
      <xdr:rowOff>1371136</xdr:rowOff>
    </xdr:to>
    <xdr:pic>
      <xdr:nvPicPr>
        <xdr:cNvPr id="10" name="Рисунок 8">
          <a:extLst>
            <a:ext uri="{FF2B5EF4-FFF2-40B4-BE49-F238E27FC236}">
              <a16:creationId xmlns:a16="http://schemas.microsoft.com/office/drawing/2014/main" id="{1FB1C878-6357-4E35-887C-CDA667D8C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3627990" y="4811386"/>
          <a:ext cx="1422245" cy="1303200"/>
        </a:xfrm>
        <a:prstGeom prst="rect">
          <a:avLst/>
        </a:prstGeom>
        <a:ln>
          <a:noFill/>
        </a:ln>
      </xdr:spPr>
    </xdr:pic>
    <xdr:clientData fPrintsWithSheet="0"/>
  </xdr:twoCellAnchor>
  <xdr:twoCellAnchor editAs="absolute">
    <xdr:from>
      <xdr:col>3</xdr:col>
      <xdr:colOff>103740</xdr:colOff>
      <xdr:row>4</xdr:row>
      <xdr:rowOff>67937</xdr:rowOff>
    </xdr:from>
    <xdr:to>
      <xdr:col>3</xdr:col>
      <xdr:colOff>1525985</xdr:colOff>
      <xdr:row>4</xdr:row>
      <xdr:rowOff>1371137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19F71A2-4EC3-40A8-9E4C-4392C7CB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>
        <a:xfrm>
          <a:off x="3647040" y="3382637"/>
          <a:ext cx="1422245" cy="1303200"/>
        </a:xfrm>
        <a:prstGeom prst="rect">
          <a:avLst/>
        </a:prstGeom>
        <a:ln>
          <a:noFill/>
        </a:ln>
      </xdr:spPr>
    </xdr:pic>
    <xdr:clientData fPrintsWithSheet="0"/>
  </xdr:twoCellAnchor>
  <xdr:twoCellAnchor editAs="absolute">
    <xdr:from>
      <xdr:col>3</xdr:col>
      <xdr:colOff>94215</xdr:colOff>
      <xdr:row>3</xdr:row>
      <xdr:rowOff>74741</xdr:rowOff>
    </xdr:from>
    <xdr:to>
      <xdr:col>3</xdr:col>
      <xdr:colOff>1516460</xdr:colOff>
      <xdr:row>3</xdr:row>
      <xdr:rowOff>1377941</xdr:rowOff>
    </xdr:to>
    <xdr:pic>
      <xdr:nvPicPr>
        <xdr:cNvPr id="12" name="Рисунок 12">
          <a:extLst>
            <a:ext uri="{FF2B5EF4-FFF2-40B4-BE49-F238E27FC236}">
              <a16:creationId xmlns:a16="http://schemas.microsoft.com/office/drawing/2014/main" id="{77BB563F-7215-493B-9B02-A13424071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>
        <a:xfrm>
          <a:off x="3637515" y="1960691"/>
          <a:ext cx="1422245" cy="1303200"/>
        </a:xfrm>
        <a:prstGeom prst="rect">
          <a:avLst/>
        </a:prstGeom>
        <a:ln>
          <a:noFill/>
        </a:ln>
      </xdr:spPr>
    </xdr:pic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D967C2-D9F6-4E64-AC6B-23CFCDA435C5}" name="Каталог" displayName="Каталог" ref="B2:D6" totalsRowShown="0" headerRowDxfId="4" dataDxfId="3">
  <tableColumns count="3">
    <tableColumn id="1" xr3:uid="{B7F8BD82-C311-4A1E-9397-FB276929D626}" name="Название" dataDxfId="2"/>
    <tableColumn id="2" xr3:uid="{CC31FB6B-74E5-4B3C-9921-96A6E3D2E3D9}" name="ИД" dataDxfId="1"/>
    <tableColumn id="3" xr3:uid="{5DE02A31-95AD-4488-B10F-CC4346E2B848}" name="Картинка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andline.ru/lenta-epdm-uplotnitel-ezu-4002-60-mm-30-m-380978.html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grandline.ru/katalog/fasad/sayding/fibrocementnyj-sajding/komplektuusie-cedral/profil-perforirovannyj-universalnyj/" TargetMode="External"/><Relationship Id="rId7" Type="http://schemas.openxmlformats.org/officeDocument/2006/relationships/hyperlink" Target="https://www.grandline.ru/katalog/fasad/sayding/fibrocementnyj-sajding/dobornye-elementy-decover/finisnyj-profil-decover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grandline.ru/katalog/fasad/sayding/fibrocementnyj-sajding/dobornye-elementy-decover/startovyj-profil-decover/" TargetMode="External"/><Relationship Id="rId1" Type="http://schemas.openxmlformats.org/officeDocument/2006/relationships/hyperlink" Target="https://www.grandline.ru/katalog/fasad/sayding/fibrocementnyj-sajding/dobornye-elementy-decover/soedinitelnyj-profil-decover/" TargetMode="External"/><Relationship Id="rId6" Type="http://schemas.openxmlformats.org/officeDocument/2006/relationships/hyperlink" Target="https://www.grandline.ru/katalog/fasad/sayding/fibrocementnyj-sajding/dobornye-elementy-decover/ugol-vnutrennij-decover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randline.ru/katalog/fasad/sayding/fibrocementnyj-sajding/dobornye-elementy-decover/ugol-vnesnij-asimmetricnyj-decover/" TargetMode="External"/><Relationship Id="rId10" Type="http://schemas.openxmlformats.org/officeDocument/2006/relationships/hyperlink" Target="https://www.grandline.ru/katalog/ehlementi-krovli/komplektuyushchie-krovli/korrektor-dlya-remonta-tsarapin/" TargetMode="External"/><Relationship Id="rId4" Type="http://schemas.openxmlformats.org/officeDocument/2006/relationships/hyperlink" Target="https://www.grandline.ru/katalog/fasad/sayding/fibrocementnyj-sajding/dobornye-elementy-decover/ugol-vnesnij-simmetricnyj-decover/" TargetMode="External"/><Relationship Id="rId9" Type="http://schemas.openxmlformats.org/officeDocument/2006/relationships/hyperlink" Target="https://www.grandline.ru/katalog/fasad/sayding/fibrocementnyj-sajding/dobornye-elementy-decover/planka-priemnaa-okonnaa-fibrosajdin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C:\Users\AKUZNE~1\AppData\Local\Temp\notesD1F7F3\&#1064;&#1072;&#1073;&#1083;&#1086;&#1085;%20&#1088;&#1072;&#1089;&#1095;&#1077;&#1090;&#1072;%20&#1053;&#1060;&#1057;%20&#1076;&#1083;&#1103;%20&#1092;&#1080;&#1073;&#1088;&#1086;&#1089;&#1072;&#1081;&#1076;&#1080;&#1085;&#1075;&#1072;%20&#1080;%20&#1087;&#1083;&#1072;&#1085;&#1082;&#1077;&#1085;&#1072;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C186"/>
  <sheetViews>
    <sheetView showGridLines="0" tabSelected="1" zoomScale="70" zoomScaleNormal="70" workbookViewId="0"/>
  </sheetViews>
  <sheetFormatPr defaultColWidth="0" defaultRowHeight="18" zeroHeight="1" x14ac:dyDescent="0.2"/>
  <cols>
    <col min="1" max="1" width="9.140625" style="2" customWidth="1"/>
    <col min="2" max="2" width="45.5703125" style="2" customWidth="1"/>
    <col min="3" max="3" width="34" style="2" customWidth="1"/>
    <col min="4" max="4" width="16.140625" style="2" customWidth="1"/>
    <col min="5" max="5" width="26.140625" style="2" customWidth="1"/>
    <col min="6" max="6" width="30.28515625" style="2" customWidth="1"/>
    <col min="7" max="7" width="23.140625" style="2" customWidth="1"/>
    <col min="8" max="8" width="30.85546875" style="1" customWidth="1"/>
    <col min="9" max="9" width="28.140625" style="1" customWidth="1"/>
    <col min="10" max="10" width="21.28515625" style="1" customWidth="1"/>
    <col min="11" max="11" width="24.85546875" style="1" customWidth="1"/>
    <col min="12" max="12" width="30.5703125" style="1" customWidth="1"/>
    <col min="13" max="13" width="11.42578125" style="1" customWidth="1"/>
    <col min="14" max="14" width="3.5703125" style="1" customWidth="1"/>
    <col min="15" max="15" width="5.5703125" style="1" hidden="1" customWidth="1"/>
    <col min="16" max="16" width="11.42578125" style="1" hidden="1" customWidth="1"/>
    <col min="17" max="17" width="7" style="1" hidden="1" customWidth="1"/>
    <col min="18" max="18" width="6.42578125" style="1" hidden="1" customWidth="1"/>
    <col min="19" max="19" width="9" style="1" hidden="1" customWidth="1"/>
    <col min="20" max="20" width="19.42578125" style="1" hidden="1" customWidth="1"/>
    <col min="21" max="21" width="9.42578125" style="1" hidden="1" customWidth="1"/>
    <col min="22" max="25" width="9.140625" style="1" hidden="1" customWidth="1"/>
    <col min="26" max="26" width="12.140625" style="1" hidden="1" customWidth="1"/>
    <col min="27" max="27" width="14.5703125" style="1" hidden="1" customWidth="1"/>
    <col min="28" max="28" width="18.85546875" style="1" hidden="1" customWidth="1"/>
    <col min="29" max="29" width="12.85546875" style="1" hidden="1" customWidth="1"/>
    <col min="30" max="30" width="11.85546875" style="1" hidden="1" customWidth="1"/>
    <col min="31" max="31" width="12.85546875" style="1" hidden="1" customWidth="1"/>
    <col min="32" max="32" width="24.5703125" style="1" hidden="1" customWidth="1"/>
    <col min="33" max="33" width="9" style="1" hidden="1" customWidth="1"/>
    <col min="34" max="34" width="17.28515625" style="1" hidden="1" customWidth="1"/>
    <col min="35" max="35" width="12.85546875" style="1" hidden="1" customWidth="1"/>
    <col min="36" max="36" width="9.140625" hidden="1" customWidth="1"/>
    <col min="37" max="37" width="24.5703125" style="1" hidden="1" customWidth="1"/>
    <col min="38" max="38" width="27.7109375" style="1" hidden="1" customWidth="1"/>
    <col min="39" max="40" width="29" style="1" hidden="1" customWidth="1"/>
    <col min="41" max="42" width="11.85546875" style="1" hidden="1" customWidth="1"/>
    <col min="43" max="44" width="12.85546875" style="1" hidden="1" customWidth="1"/>
    <col min="45" max="52" width="9.140625" style="1" hidden="1" customWidth="1"/>
    <col min="53" max="53" width="11.85546875" style="1" hidden="1" customWidth="1"/>
    <col min="54" max="54" width="22.28515625" style="1" hidden="1" customWidth="1"/>
    <col min="55" max="16384" width="9.140625" style="1" hidden="1"/>
  </cols>
  <sheetData>
    <row r="1" spans="2:43" ht="24.75" customHeight="1" x14ac:dyDescent="0.35">
      <c r="B1" s="16" t="s">
        <v>112</v>
      </c>
      <c r="C1" s="16" t="s">
        <v>113</v>
      </c>
      <c r="E1" s="127" t="s">
        <v>152</v>
      </c>
      <c r="F1" s="127"/>
      <c r="G1" s="16" t="s">
        <v>114</v>
      </c>
      <c r="H1" s="21" t="s">
        <v>115</v>
      </c>
      <c r="I1" s="21" t="s">
        <v>116</v>
      </c>
      <c r="J1" s="10"/>
      <c r="K1" s="10"/>
      <c r="L1" s="10"/>
      <c r="M1" s="10"/>
      <c r="AC1" s="1" t="s">
        <v>48</v>
      </c>
      <c r="AD1" s="1" t="s">
        <v>49</v>
      </c>
      <c r="AE1" s="1" t="s">
        <v>52</v>
      </c>
      <c r="AF1" s="1" t="s">
        <v>53</v>
      </c>
      <c r="AG1" s="1" t="s">
        <v>83</v>
      </c>
      <c r="AH1" s="1" t="s">
        <v>305</v>
      </c>
      <c r="AK1" s="86" t="s">
        <v>45</v>
      </c>
      <c r="AL1" s="86" t="s">
        <v>50</v>
      </c>
      <c r="AM1" s="86" t="s">
        <v>51</v>
      </c>
    </row>
    <row r="2" spans="2:43" x14ac:dyDescent="0.35">
      <c r="B2" s="80" t="s">
        <v>49</v>
      </c>
      <c r="C2" s="13" t="s">
        <v>33</v>
      </c>
      <c r="E2" s="15" t="s">
        <v>159</v>
      </c>
      <c r="F2" s="11" t="s">
        <v>308</v>
      </c>
      <c r="G2" s="6" t="str">
        <f>VLOOKUP(C2,AK2:AM75,3,FALSE)</f>
        <v>RAL 6005</v>
      </c>
      <c r="H2" s="7" t="s">
        <v>25</v>
      </c>
      <c r="I2" s="13" t="s">
        <v>39</v>
      </c>
      <c r="K2" s="114" t="s">
        <v>132</v>
      </c>
      <c r="L2" s="114"/>
      <c r="M2" s="114"/>
      <c r="AC2" s="1" t="s">
        <v>46</v>
      </c>
      <c r="AD2" s="1" t="s">
        <v>23</v>
      </c>
      <c r="AE2" s="1" t="s">
        <v>4</v>
      </c>
      <c r="AF2" s="1" t="s">
        <v>46</v>
      </c>
      <c r="AG2" s="1" t="s">
        <v>58</v>
      </c>
      <c r="AH2" s="1" t="s">
        <v>46</v>
      </c>
      <c r="AK2" s="17" t="s">
        <v>4</v>
      </c>
      <c r="AL2" s="87" t="str">
        <f>VLOOKUP(AK2,'1'!$D$2:$F$75,2,FALSE)</f>
        <v>RAL 9006</v>
      </c>
      <c r="AM2" s="87" t="str">
        <f>VLOOKUP(AK2,'1'!$D$2:$F$75,3,FALSE)</f>
        <v xml:space="preserve"> - </v>
      </c>
    </row>
    <row r="3" spans="2:43" x14ac:dyDescent="0.35">
      <c r="B3" s="17" t="s">
        <v>326</v>
      </c>
      <c r="C3" s="80" t="s">
        <v>160</v>
      </c>
      <c r="E3" s="15" t="s">
        <v>160</v>
      </c>
      <c r="F3" s="11" t="s">
        <v>312</v>
      </c>
      <c r="G3" s="8" t="str">
        <f>VLOOKUP(C2,AK2:AM75,2,FALSE)</f>
        <v>RAL 6005</v>
      </c>
      <c r="H3" s="7" t="s">
        <v>25</v>
      </c>
      <c r="I3" s="13" t="s">
        <v>93</v>
      </c>
      <c r="K3" s="23" t="s">
        <v>134</v>
      </c>
      <c r="L3" s="24">
        <v>0</v>
      </c>
      <c r="M3" s="114">
        <f>(0.5*L3*L4)*2</f>
        <v>0</v>
      </c>
      <c r="AC3" s="1" t="s">
        <v>47</v>
      </c>
      <c r="AD3" s="1" t="s">
        <v>24</v>
      </c>
      <c r="AE3" s="1" t="s">
        <v>1</v>
      </c>
      <c r="AF3" s="1" t="s">
        <v>54</v>
      </c>
      <c r="AG3" s="1" t="s">
        <v>59</v>
      </c>
      <c r="AH3" s="1" t="s">
        <v>85</v>
      </c>
      <c r="AK3" s="17" t="s">
        <v>1</v>
      </c>
      <c r="AL3" s="87" t="str">
        <f>VLOOKUP(AK3,'1'!$D$2:$F$75,2,FALSE)</f>
        <v>RAL 9003</v>
      </c>
      <c r="AM3" s="87" t="str">
        <f>VLOOKUP(AK3,'1'!$D$2:$F$75,3,FALSE)</f>
        <v>RAL 9003</v>
      </c>
    </row>
    <row r="4" spans="2:43" ht="30.75" customHeight="1" x14ac:dyDescent="0.35">
      <c r="B4" s="81" t="s">
        <v>118</v>
      </c>
      <c r="C4" s="20" t="s">
        <v>322</v>
      </c>
      <c r="D4" s="20" t="s">
        <v>323</v>
      </c>
      <c r="E4" s="20" t="s">
        <v>324</v>
      </c>
      <c r="F4" s="20" t="s">
        <v>325</v>
      </c>
      <c r="G4" s="1"/>
      <c r="K4" s="23" t="s">
        <v>136</v>
      </c>
      <c r="L4" s="24">
        <v>0</v>
      </c>
      <c r="M4" s="114"/>
      <c r="AD4" s="1" t="s">
        <v>25</v>
      </c>
      <c r="AE4" s="1" t="s">
        <v>12</v>
      </c>
      <c r="AF4" s="1" t="s">
        <v>55</v>
      </c>
      <c r="AG4" s="1" t="s">
        <v>60</v>
      </c>
      <c r="AH4" s="1" t="s">
        <v>86</v>
      </c>
      <c r="AK4" s="17" t="s">
        <v>12</v>
      </c>
      <c r="AL4" s="87" t="str">
        <f>VLOOKUP(AK4,'1'!$D$2:$F$75,2,FALSE)</f>
        <v>RAL 1014</v>
      </c>
      <c r="AM4" s="87" t="str">
        <f>VLOOKUP(AK4,'1'!$D$2:$F$75,3,FALSE)</f>
        <v xml:space="preserve"> - </v>
      </c>
    </row>
    <row r="5" spans="2:43" x14ac:dyDescent="0.35">
      <c r="B5" s="17" t="s">
        <v>119</v>
      </c>
      <c r="C5" s="18">
        <v>10</v>
      </c>
      <c r="D5" s="18">
        <v>0</v>
      </c>
      <c r="E5" s="18">
        <v>0</v>
      </c>
      <c r="F5" s="18">
        <v>0</v>
      </c>
      <c r="G5" s="1"/>
      <c r="H5" s="15" t="s">
        <v>130</v>
      </c>
      <c r="I5" s="82" t="s">
        <v>301</v>
      </c>
      <c r="K5" s="114" t="s">
        <v>133</v>
      </c>
      <c r="L5" s="114"/>
      <c r="M5" s="114"/>
      <c r="AD5" s="1" t="s">
        <v>27</v>
      </c>
      <c r="AE5" s="1" t="s">
        <v>5</v>
      </c>
      <c r="AF5" s="1" t="s">
        <v>56</v>
      </c>
      <c r="AG5" s="1" t="s">
        <v>61</v>
      </c>
      <c r="AK5" s="17" t="s">
        <v>5</v>
      </c>
      <c r="AL5" s="87" t="str">
        <f>VLOOKUP(AK5,'1'!$D$2:$F$75,2,FALSE)</f>
        <v>RAL 1014</v>
      </c>
      <c r="AM5" s="87" t="str">
        <f>VLOOKUP(AK5,'1'!$D$2:$F$75,3,FALSE)</f>
        <v xml:space="preserve"> - </v>
      </c>
    </row>
    <row r="6" spans="2:43" x14ac:dyDescent="0.35">
      <c r="B6" s="17" t="s">
        <v>120</v>
      </c>
      <c r="C6" s="18">
        <v>4</v>
      </c>
      <c r="D6" s="18">
        <v>0</v>
      </c>
      <c r="E6" s="18">
        <v>0</v>
      </c>
      <c r="F6" s="18">
        <v>0</v>
      </c>
      <c r="G6" s="1"/>
      <c r="K6" s="23" t="s">
        <v>135</v>
      </c>
      <c r="L6" s="24">
        <v>0</v>
      </c>
      <c r="M6" s="114">
        <f>((0.5*(L8+L9)*L6)+(0.5*L7*L9))*2</f>
        <v>0</v>
      </c>
      <c r="V6" s="1" t="str">
        <f>VLOOKUP(Калькулятор!I5,Каталог[],2,FALSE)</f>
        <v>no</v>
      </c>
      <c r="AD6" s="1" t="s">
        <v>28</v>
      </c>
      <c r="AE6" s="1" t="s">
        <v>9</v>
      </c>
      <c r="AF6" s="1" t="s">
        <v>57</v>
      </c>
      <c r="AG6" s="1" t="s">
        <v>62</v>
      </c>
      <c r="AK6" s="17" t="s">
        <v>9</v>
      </c>
      <c r="AL6" s="87" t="str">
        <f>VLOOKUP(AK6,'1'!$D$2:$F$75,2,FALSE)</f>
        <v xml:space="preserve"> - </v>
      </c>
      <c r="AM6" s="87" t="str">
        <f>VLOOKUP(AK6,'1'!$D$2:$F$75,3,FALSE)</f>
        <v xml:space="preserve"> - </v>
      </c>
    </row>
    <row r="7" spans="2:43" x14ac:dyDescent="0.35">
      <c r="B7" s="17" t="s">
        <v>259</v>
      </c>
      <c r="C7" s="124">
        <v>0</v>
      </c>
      <c r="D7" s="124"/>
      <c r="K7" s="23" t="s">
        <v>137</v>
      </c>
      <c r="L7" s="24">
        <v>0</v>
      </c>
      <c r="M7" s="114"/>
      <c r="AD7" s="1" t="s">
        <v>29</v>
      </c>
      <c r="AE7" s="1" t="s">
        <v>7</v>
      </c>
      <c r="AF7" s="1" t="s">
        <v>111</v>
      </c>
      <c r="AG7" s="1" t="s">
        <v>63</v>
      </c>
      <c r="AK7" s="17" t="s">
        <v>7</v>
      </c>
      <c r="AL7" s="87" t="str">
        <f>VLOOKUP(AK7,'1'!$D$2:$F$75,2,FALSE)</f>
        <v>RAL 5005</v>
      </c>
      <c r="AM7" s="87" t="str">
        <f>VLOOKUP(AK7,'1'!$D$2:$F$75,3,FALSE)</f>
        <v xml:space="preserve"> - </v>
      </c>
    </row>
    <row r="8" spans="2:43" x14ac:dyDescent="0.35">
      <c r="B8" s="17" t="s">
        <v>258</v>
      </c>
      <c r="C8" s="125" t="s">
        <v>300</v>
      </c>
      <c r="D8" s="126"/>
      <c r="K8" s="23" t="s">
        <v>138</v>
      </c>
      <c r="L8" s="24">
        <v>0</v>
      </c>
      <c r="M8" s="114"/>
      <c r="T8" s="9"/>
      <c r="U8" s="9"/>
      <c r="W8" s="9"/>
      <c r="X8" s="9"/>
      <c r="AD8" s="1" t="s">
        <v>30</v>
      </c>
      <c r="AE8" s="1" t="s">
        <v>6</v>
      </c>
      <c r="AF8" s="1" t="s">
        <v>3</v>
      </c>
      <c r="AG8" s="1" t="s">
        <v>64</v>
      </c>
      <c r="AK8" s="17" t="s">
        <v>6</v>
      </c>
      <c r="AL8" s="87" t="str">
        <f>VLOOKUP(AK8,'1'!$D$2:$F$75,2,FALSE)</f>
        <v xml:space="preserve"> - </v>
      </c>
      <c r="AM8" s="87" t="str">
        <f>VLOOKUP(AK8,'1'!$D$2:$F$75,3,FALSE)</f>
        <v xml:space="preserve"> - </v>
      </c>
    </row>
    <row r="9" spans="2:43" x14ac:dyDescent="0.35">
      <c r="K9" s="23" t="s">
        <v>139</v>
      </c>
      <c r="L9" s="24">
        <v>0</v>
      </c>
      <c r="M9" s="114"/>
      <c r="T9" s="9"/>
      <c r="U9" s="9"/>
      <c r="W9" s="9"/>
      <c r="X9" s="9"/>
      <c r="AD9" s="1" t="s">
        <v>31</v>
      </c>
      <c r="AE9" s="1" t="s">
        <v>10</v>
      </c>
      <c r="AF9" s="1" t="s">
        <v>15</v>
      </c>
      <c r="AG9" s="1" t="s">
        <v>65</v>
      </c>
      <c r="AK9" s="17" t="s">
        <v>10</v>
      </c>
      <c r="AL9" s="87" t="str">
        <f>VLOOKUP(AK9,'1'!$D$2:$F$75,2,FALSE)</f>
        <v>RAL 7024</v>
      </c>
      <c r="AM9" s="87" t="str">
        <f>VLOOKUP(AK9,'1'!$D$2:$F$75,3,FALSE)</f>
        <v>RAL 7024</v>
      </c>
    </row>
    <row r="10" spans="2:43" x14ac:dyDescent="0.35">
      <c r="U10" s="10"/>
      <c r="W10" s="9"/>
      <c r="X10" s="9"/>
      <c r="AD10" s="1" t="s">
        <v>32</v>
      </c>
      <c r="AE10" s="1" t="s">
        <v>8</v>
      </c>
      <c r="AF10" s="1" t="s">
        <v>11</v>
      </c>
      <c r="AG10" s="1" t="s">
        <v>66</v>
      </c>
      <c r="AK10" s="17" t="s">
        <v>8</v>
      </c>
      <c r="AL10" s="87" t="str">
        <f>VLOOKUP(AK10,'1'!$D$2:$F$75,2,FALSE)</f>
        <v>RAL 8017</v>
      </c>
      <c r="AM10" s="87" t="str">
        <f>VLOOKUP(AK10,'1'!$D$2:$F$75,3,FALSE)</f>
        <v>RAL 8017</v>
      </c>
    </row>
    <row r="11" spans="2:43" x14ac:dyDescent="0.35">
      <c r="B11" s="123" t="s">
        <v>125</v>
      </c>
      <c r="C11" s="123" t="s">
        <v>126</v>
      </c>
      <c r="D11" s="123"/>
      <c r="E11" s="123" t="s">
        <v>127</v>
      </c>
      <c r="F11" s="123"/>
      <c r="G11" s="123" t="s">
        <v>153</v>
      </c>
      <c r="H11" s="123"/>
      <c r="I11" s="123" t="s">
        <v>154</v>
      </c>
      <c r="J11" s="123"/>
      <c r="K11" s="114" t="s">
        <v>131</v>
      </c>
      <c r="L11" s="114"/>
      <c r="M11" s="114"/>
      <c r="T11" s="25" t="s">
        <v>140</v>
      </c>
      <c r="U11" s="2">
        <f>ROUNDUP(SQRT((L3^2)+((L4/2)^2))*2*2,0)</f>
        <v>0</v>
      </c>
      <c r="AD11" s="1" t="s">
        <v>33</v>
      </c>
      <c r="AE11" s="1" t="s">
        <v>14</v>
      </c>
      <c r="AG11" s="1" t="s">
        <v>67</v>
      </c>
      <c r="AK11" s="17" t="s">
        <v>14</v>
      </c>
      <c r="AL11" s="87" t="str">
        <f>VLOOKUP(AK11,'1'!$D$2:$F$75,2,FALSE)</f>
        <v>RR 32</v>
      </c>
      <c r="AM11" s="87" t="str">
        <f>VLOOKUP(AK11,'1'!$D$2:$F$75,3,FALSE)</f>
        <v>RR 32</v>
      </c>
    </row>
    <row r="12" spans="2:43" x14ac:dyDescent="0.35">
      <c r="B12" s="123"/>
      <c r="C12" s="22"/>
      <c r="D12" s="7" t="s">
        <v>122</v>
      </c>
      <c r="E12" s="22"/>
      <c r="F12" s="7" t="s">
        <v>122</v>
      </c>
      <c r="G12" s="22"/>
      <c r="H12" s="7" t="s">
        <v>122</v>
      </c>
      <c r="I12" s="22"/>
      <c r="J12" s="7" t="s">
        <v>122</v>
      </c>
      <c r="K12" s="23" t="s">
        <v>134</v>
      </c>
      <c r="L12" s="24">
        <v>0</v>
      </c>
      <c r="M12" s="114">
        <f>(0.5*(L13+L14)*L12)*2</f>
        <v>0</v>
      </c>
      <c r="T12" s="25" t="s">
        <v>141</v>
      </c>
      <c r="U12" s="26">
        <f>ROUNDUP(SQRT((L7^2)+((L9/2)^2))*2*2,0)</f>
        <v>0</v>
      </c>
      <c r="X12" s="26"/>
      <c r="Y12" s="26"/>
      <c r="AD12" s="1" t="s">
        <v>34</v>
      </c>
      <c r="AE12" s="1" t="s">
        <v>2</v>
      </c>
      <c r="AG12" s="1" t="s">
        <v>68</v>
      </c>
      <c r="AK12" s="17" t="s">
        <v>2</v>
      </c>
      <c r="AL12" s="87" t="str">
        <f>VLOOKUP(AK12,'1'!$D$2:$F$75,2,FALSE)</f>
        <v>RAL 8004</v>
      </c>
      <c r="AM12" s="87" t="str">
        <f>VLOOKUP(AK12,'1'!$D$2:$F$75,3,FALSE)</f>
        <v>RAL 8004</v>
      </c>
    </row>
    <row r="13" spans="2:43" x14ac:dyDescent="0.35">
      <c r="B13" s="14" t="s">
        <v>128</v>
      </c>
      <c r="C13" s="18">
        <v>1.2</v>
      </c>
      <c r="D13" s="120">
        <v>1</v>
      </c>
      <c r="E13" s="18">
        <v>1.2</v>
      </c>
      <c r="F13" s="122">
        <v>0</v>
      </c>
      <c r="G13" s="18">
        <v>1.2</v>
      </c>
      <c r="H13" s="120">
        <v>0</v>
      </c>
      <c r="I13" s="18">
        <v>1.2</v>
      </c>
      <c r="J13" s="122">
        <v>0</v>
      </c>
      <c r="K13" s="23" t="s">
        <v>138</v>
      </c>
      <c r="L13" s="24">
        <v>0</v>
      </c>
      <c r="M13" s="114"/>
      <c r="T13" s="25" t="s">
        <v>142</v>
      </c>
      <c r="U13" s="26">
        <f>ROUNDUP(SQRT((L6^2)+(((L8-L9)/2)^2))*2*2,0)</f>
        <v>0</v>
      </c>
      <c r="W13" s="9"/>
      <c r="X13" s="9"/>
      <c r="AD13" s="1" t="s">
        <v>35</v>
      </c>
      <c r="AE13" s="1" t="s">
        <v>13</v>
      </c>
      <c r="AG13" s="1" t="s">
        <v>69</v>
      </c>
      <c r="AK13" s="17" t="s">
        <v>13</v>
      </c>
      <c r="AL13" s="87" t="str">
        <f>VLOOKUP(AK13,'1'!$D$2:$F$75,2,FALSE)</f>
        <v xml:space="preserve"> - </v>
      </c>
      <c r="AM13" s="87" t="str">
        <f>VLOOKUP(AK13,'1'!$D$2:$F$75,3,FALSE)</f>
        <v xml:space="preserve"> - </v>
      </c>
      <c r="AN13" s="26"/>
      <c r="AO13" s="26"/>
      <c r="AP13" s="26"/>
      <c r="AQ13" s="26"/>
    </row>
    <row r="14" spans="2:43" x14ac:dyDescent="0.35">
      <c r="B14" s="14" t="s">
        <v>129</v>
      </c>
      <c r="C14" s="18">
        <v>1.5</v>
      </c>
      <c r="D14" s="121"/>
      <c r="E14" s="18">
        <v>1.1499999999999999</v>
      </c>
      <c r="F14" s="122"/>
      <c r="G14" s="18">
        <v>1.5</v>
      </c>
      <c r="H14" s="121"/>
      <c r="I14" s="18">
        <v>1.1499999999999999</v>
      </c>
      <c r="J14" s="122"/>
      <c r="K14" s="23" t="s">
        <v>139</v>
      </c>
      <c r="L14" s="24">
        <v>0</v>
      </c>
      <c r="M14" s="114"/>
      <c r="R14" s="26"/>
      <c r="S14" s="26"/>
      <c r="T14" s="25" t="s">
        <v>140</v>
      </c>
      <c r="U14" s="26">
        <f>ROUNDUP(SQRT((L12^2)+(((L13-L14)/2)^2))*2*2,0)</f>
        <v>0</v>
      </c>
      <c r="W14" s="9"/>
      <c r="X14" s="9"/>
      <c r="AE14" s="1" t="s">
        <v>36</v>
      </c>
      <c r="AG14" s="1" t="s">
        <v>70</v>
      </c>
      <c r="AI14" s="26"/>
      <c r="AK14" s="17" t="s">
        <v>15</v>
      </c>
      <c r="AL14" s="87" t="str">
        <f>VLOOKUP(AK14,'1'!$D$2:$F$75,2,FALSE)</f>
        <v>RAL 3009</v>
      </c>
      <c r="AM14" s="87" t="str">
        <f>VLOOKUP(AK14,'1'!$D$2:$F$75,3,FALSE)</f>
        <v xml:space="preserve"> - </v>
      </c>
      <c r="AN14" s="26"/>
      <c r="AO14" s="26"/>
      <c r="AP14" s="26"/>
      <c r="AQ14" s="26"/>
    </row>
    <row r="15" spans="2:43" x14ac:dyDescent="0.35">
      <c r="B15" s="119"/>
      <c r="C15" s="123" t="s">
        <v>155</v>
      </c>
      <c r="D15" s="123"/>
      <c r="E15" s="123" t="s">
        <v>156</v>
      </c>
      <c r="F15" s="123"/>
      <c r="G15" s="123" t="s">
        <v>157</v>
      </c>
      <c r="H15" s="123"/>
      <c r="I15" s="123" t="s">
        <v>158</v>
      </c>
      <c r="J15" s="123"/>
      <c r="O15" s="12"/>
      <c r="P15" s="12"/>
      <c r="Q15" s="12"/>
      <c r="R15" s="27"/>
      <c r="T15" s="17"/>
      <c r="U15" s="7" t="s">
        <v>146</v>
      </c>
      <c r="V15" s="7" t="s">
        <v>147</v>
      </c>
      <c r="W15" s="28" t="s">
        <v>150</v>
      </c>
      <c r="X15" s="28" t="s">
        <v>151</v>
      </c>
      <c r="AE15" s="1" t="s">
        <v>37</v>
      </c>
      <c r="AG15" s="1" t="s">
        <v>71</v>
      </c>
      <c r="AK15" s="17" t="s">
        <v>11</v>
      </c>
      <c r="AL15" s="87" t="str">
        <f>VLOOKUP(AK15,'1'!$D$2:$F$75,2,FALSE)</f>
        <v>RAL 9005</v>
      </c>
      <c r="AM15" s="87" t="str">
        <f>VLOOKUP(AK15,'1'!$D$2:$F$75,3,FALSE)</f>
        <v>RAL 9005</v>
      </c>
    </row>
    <row r="16" spans="2:43" x14ac:dyDescent="0.35">
      <c r="B16" s="119"/>
      <c r="C16" s="22"/>
      <c r="D16" s="7" t="s">
        <v>122</v>
      </c>
      <c r="E16" s="22"/>
      <c r="F16" s="7" t="s">
        <v>122</v>
      </c>
      <c r="G16" s="22"/>
      <c r="H16" s="7" t="s">
        <v>122</v>
      </c>
      <c r="I16" s="22"/>
      <c r="J16" s="7" t="s">
        <v>122</v>
      </c>
      <c r="O16" s="12"/>
      <c r="P16" s="12"/>
      <c r="Q16" s="12"/>
      <c r="T16" s="29" t="s">
        <v>48</v>
      </c>
      <c r="U16" s="30" t="s">
        <v>318</v>
      </c>
      <c r="V16" s="17">
        <v>190</v>
      </c>
      <c r="W16" s="31">
        <v>2.2999999999999998</v>
      </c>
      <c r="X16" s="31">
        <v>2</v>
      </c>
      <c r="AE16" s="1" t="s">
        <v>38</v>
      </c>
      <c r="AG16" s="1" t="s">
        <v>72</v>
      </c>
      <c r="AK16" s="17" t="s">
        <v>3</v>
      </c>
      <c r="AL16" s="87" t="str">
        <f>VLOOKUP(AK16,'1'!$D$2:$F$75,2,FALSE)</f>
        <v>RAL 3005</v>
      </c>
      <c r="AM16" s="87" t="str">
        <f>VLOOKUP(AK16,'1'!$D$2:$F$75,3,FALSE)</f>
        <v>RAL 3005</v>
      </c>
    </row>
    <row r="17" spans="1:39" x14ac:dyDescent="0.35">
      <c r="B17" s="14" t="s">
        <v>128</v>
      </c>
      <c r="C17" s="18">
        <v>1.2</v>
      </c>
      <c r="D17" s="120">
        <v>0</v>
      </c>
      <c r="E17" s="18">
        <v>1.2</v>
      </c>
      <c r="F17" s="122">
        <v>0</v>
      </c>
      <c r="G17" s="18">
        <v>1</v>
      </c>
      <c r="H17" s="122">
        <v>1</v>
      </c>
      <c r="I17" s="18">
        <v>1</v>
      </c>
      <c r="J17" s="122">
        <v>0</v>
      </c>
      <c r="T17" s="29" t="s">
        <v>49</v>
      </c>
      <c r="U17" s="30" t="s">
        <v>318</v>
      </c>
      <c r="V17" s="17">
        <v>190</v>
      </c>
      <c r="W17" s="7">
        <v>2.2999999999999998</v>
      </c>
      <c r="X17" s="31">
        <v>2</v>
      </c>
      <c r="AE17" s="1" t="s">
        <v>39</v>
      </c>
      <c r="AG17" s="1" t="s">
        <v>60</v>
      </c>
      <c r="AK17" s="17" t="s">
        <v>46</v>
      </c>
      <c r="AL17" s="87" t="str">
        <f>VLOOKUP(AK17,'1'!$D$2:$F$75,2,FALSE)</f>
        <v>RAL 9003</v>
      </c>
      <c r="AM17" s="87" t="str">
        <f>VLOOKUP(AK17,'1'!$D$2:$F$75,3,FALSE)</f>
        <v>RAL 9003</v>
      </c>
    </row>
    <row r="18" spans="1:39" x14ac:dyDescent="0.35">
      <c r="B18" s="14" t="s">
        <v>129</v>
      </c>
      <c r="C18" s="18">
        <v>1.5</v>
      </c>
      <c r="D18" s="121"/>
      <c r="E18" s="18">
        <v>1.1499999999999999</v>
      </c>
      <c r="F18" s="122"/>
      <c r="G18" s="18">
        <v>2</v>
      </c>
      <c r="H18" s="122"/>
      <c r="I18" s="18">
        <v>2</v>
      </c>
      <c r="J18" s="122"/>
      <c r="T18" s="32" t="s">
        <v>52</v>
      </c>
      <c r="U18" s="30" t="s">
        <v>319</v>
      </c>
      <c r="V18" s="17">
        <v>190</v>
      </c>
      <c r="W18" s="7">
        <v>2</v>
      </c>
      <c r="X18" s="31">
        <v>1.7</v>
      </c>
      <c r="AE18" s="1" t="s">
        <v>40</v>
      </c>
      <c r="AG18" s="1" t="s">
        <v>73</v>
      </c>
      <c r="AK18" s="17" t="s">
        <v>111</v>
      </c>
      <c r="AL18" s="87" t="str">
        <f>VLOOKUP(AK18,'1'!$D$2:$F$75,2,FALSE)</f>
        <v>RAL 7024</v>
      </c>
      <c r="AM18" s="87" t="str">
        <f>VLOOKUP(AK18,'1'!$D$2:$F$75,3,FALSE)</f>
        <v>RAL 7024</v>
      </c>
    </row>
    <row r="19" spans="1:39" x14ac:dyDescent="0.35">
      <c r="B19" s="1"/>
      <c r="C19" s="1"/>
      <c r="D19" s="1"/>
      <c r="E19" s="1"/>
      <c r="F19" s="1"/>
      <c r="T19" s="32" t="s">
        <v>53</v>
      </c>
      <c r="U19" s="30" t="s">
        <v>318</v>
      </c>
      <c r="V19" s="17">
        <v>200</v>
      </c>
      <c r="W19" s="7">
        <v>2.2000000000000002</v>
      </c>
      <c r="X19" s="31">
        <v>1.9</v>
      </c>
      <c r="AE19" s="1" t="s">
        <v>41</v>
      </c>
      <c r="AG19" s="1" t="s">
        <v>74</v>
      </c>
      <c r="AK19" s="17" t="s">
        <v>86</v>
      </c>
      <c r="AL19" s="87" t="str">
        <f>VLOOKUP(AK19,'1'!$D$2:$F$75,2,FALSE)</f>
        <v xml:space="preserve"> - </v>
      </c>
      <c r="AM19" s="87" t="str">
        <f>VLOOKUP(AK19,'1'!$D$2:$F$75,3,FALSE)</f>
        <v xml:space="preserve"> - </v>
      </c>
    </row>
    <row r="20" spans="1:39" x14ac:dyDescent="0.35">
      <c r="B20" s="19" t="s">
        <v>121</v>
      </c>
      <c r="C20" s="20"/>
      <c r="D20" s="20" t="s">
        <v>122</v>
      </c>
      <c r="E20" s="20" t="s">
        <v>148</v>
      </c>
      <c r="F20" s="1"/>
      <c r="G20" s="83"/>
      <c r="H20" s="83"/>
      <c r="T20" s="32" t="s">
        <v>83</v>
      </c>
      <c r="U20" s="30" t="s">
        <v>319</v>
      </c>
      <c r="V20" s="17">
        <v>190</v>
      </c>
      <c r="W20" s="7">
        <v>2</v>
      </c>
      <c r="X20" s="31">
        <v>1.8</v>
      </c>
      <c r="AE20" s="1" t="s">
        <v>42</v>
      </c>
      <c r="AG20" s="1" t="s">
        <v>75</v>
      </c>
      <c r="AK20" s="17" t="s">
        <v>26</v>
      </c>
      <c r="AL20" s="87" t="str">
        <f>VLOOKUP(AK20,'1'!$D$2:$F$75,2,FALSE)</f>
        <v xml:space="preserve"> - </v>
      </c>
      <c r="AM20" s="87" t="str">
        <f>VLOOKUP(AK20,'1'!$D$2:$F$75,3,FALSE)</f>
        <v xml:space="preserve"> - </v>
      </c>
    </row>
    <row r="21" spans="1:39" x14ac:dyDescent="0.35">
      <c r="B21" s="17" t="s">
        <v>123</v>
      </c>
      <c r="C21" s="18">
        <v>5</v>
      </c>
      <c r="D21" s="18">
        <v>1</v>
      </c>
      <c r="E21" s="13" t="s">
        <v>149</v>
      </c>
      <c r="T21" s="17" t="s">
        <v>305</v>
      </c>
      <c r="U21" s="30" t="s">
        <v>318</v>
      </c>
      <c r="V21" s="17">
        <v>190</v>
      </c>
      <c r="W21" s="7">
        <v>2.2999999999999998</v>
      </c>
      <c r="X21" s="31">
        <v>2</v>
      </c>
      <c r="AE21" s="1" t="s">
        <v>26</v>
      </c>
      <c r="AG21" s="1" t="s">
        <v>76</v>
      </c>
      <c r="AK21" s="17" t="s">
        <v>55</v>
      </c>
      <c r="AL21" s="87" t="str">
        <f>VLOOKUP(AK21,'1'!$D$2:$F$75,2,FALSE)</f>
        <v>RAL 5005</v>
      </c>
      <c r="AM21" s="87" t="str">
        <f>VLOOKUP(AK21,'1'!$D$2:$F$75,3,FALSE)</f>
        <v xml:space="preserve"> - </v>
      </c>
    </row>
    <row r="22" spans="1:39" x14ac:dyDescent="0.35">
      <c r="B22" s="17" t="s">
        <v>124</v>
      </c>
      <c r="C22" s="18">
        <v>5</v>
      </c>
      <c r="D22" s="18">
        <v>2</v>
      </c>
      <c r="AE22" s="1" t="s">
        <v>43</v>
      </c>
      <c r="AG22" s="1" t="s">
        <v>77</v>
      </c>
      <c r="AK22" s="17" t="s">
        <v>57</v>
      </c>
      <c r="AL22" s="87" t="str">
        <f>VLOOKUP(AK22,'1'!$D$2:$F$75,2,FALSE)</f>
        <v>RAL 8017</v>
      </c>
      <c r="AM22" s="87" t="str">
        <f>VLOOKUP(AK22,'1'!$D$2:$F$75,3,FALSE)</f>
        <v>RAL 8017</v>
      </c>
    </row>
    <row r="23" spans="1:39" x14ac:dyDescent="0.35">
      <c r="B23" s="17" t="s">
        <v>144</v>
      </c>
      <c r="C23" s="18"/>
      <c r="D23" s="18"/>
      <c r="AG23" s="1" t="s">
        <v>78</v>
      </c>
      <c r="AK23" s="17" t="s">
        <v>56</v>
      </c>
      <c r="AL23" s="87" t="str">
        <f>VLOOKUP(AK23,'1'!$D$2:$F$75,2,FALSE)</f>
        <v>RAL 7004</v>
      </c>
      <c r="AM23" s="87" t="str">
        <f>VLOOKUP(AK23,'1'!$D$2:$F$75,3,FALSE)</f>
        <v>RAL 7004</v>
      </c>
    </row>
    <row r="24" spans="1:39" x14ac:dyDescent="0.35">
      <c r="AG24" s="1" t="s">
        <v>79</v>
      </c>
      <c r="AK24" s="17" t="s">
        <v>47</v>
      </c>
      <c r="AL24" s="87" t="str">
        <f>VLOOKUP(AK24,'1'!$D$2:$F$75,2,FALSE)</f>
        <v>RAL 7004</v>
      </c>
      <c r="AM24" s="87" t="str">
        <f>VLOOKUP(AK24,'1'!$D$2:$F$75,3,FALSE)</f>
        <v>RAL 7004</v>
      </c>
    </row>
    <row r="25" spans="1:39" x14ac:dyDescent="0.35">
      <c r="AG25" s="1" t="s">
        <v>75</v>
      </c>
      <c r="AK25" s="17" t="s">
        <v>54</v>
      </c>
      <c r="AL25" s="87" t="str">
        <f>VLOOKUP(AK25,'1'!$D$2:$F$75,2,FALSE)</f>
        <v>RAL 1015</v>
      </c>
      <c r="AM25" s="87" t="str">
        <f>VLOOKUP(AK25,'1'!$D$2:$F$75,3,FALSE)</f>
        <v xml:space="preserve"> - </v>
      </c>
    </row>
    <row r="26" spans="1:39" ht="51.75" customHeight="1" x14ac:dyDescent="0.35">
      <c r="B26" s="106" t="s">
        <v>0</v>
      </c>
      <c r="C26" s="106"/>
      <c r="D26" s="106"/>
      <c r="E26" s="106"/>
      <c r="F26" s="88" t="s">
        <v>336</v>
      </c>
      <c r="G26" s="106" t="s">
        <v>16</v>
      </c>
      <c r="H26" s="106"/>
      <c r="I26" s="106"/>
      <c r="J26" s="106"/>
      <c r="K26" s="106"/>
      <c r="L26" s="88" t="str">
        <f>CONCATENATE("Кол-во элементов для сайдинга ",B2)</f>
        <v>Кол-во элементов для сайдинга Бэтеко</v>
      </c>
      <c r="AG26" s="1" t="s">
        <v>80</v>
      </c>
      <c r="AK26" s="17" t="s">
        <v>85</v>
      </c>
      <c r="AL26" s="87" t="str">
        <f>VLOOKUP(AK26,'1'!$D$2:$F$75,2,FALSE)</f>
        <v xml:space="preserve"> - </v>
      </c>
      <c r="AM26" s="87" t="str">
        <f>VLOOKUP(AK26,'1'!$D$2:$F$75,3,FALSE)</f>
        <v xml:space="preserve"> - </v>
      </c>
    </row>
    <row r="27" spans="1:39" ht="51.75" customHeight="1" x14ac:dyDescent="0.35">
      <c r="B27" s="101" t="str">
        <f>CONCATENATE("Панель"," ",B2,", длина ",VLOOKUP(B2,T16:V21,2,FALSE))</f>
        <v>Панель Бэтеко, длина 3 м</v>
      </c>
      <c r="C27" s="101"/>
      <c r="D27" s="101"/>
      <c r="E27" s="110"/>
      <c r="F27" s="89" t="str">
        <f>C2</f>
        <v>RAL 6009</v>
      </c>
      <c r="G27" s="100" t="s">
        <v>145</v>
      </c>
      <c r="H27" s="100"/>
      <c r="I27" s="100"/>
      <c r="J27" s="100"/>
      <c r="K27" s="100"/>
      <c r="L27" s="90" t="str">
        <f>CONCATENATE(ROUNDUP(((C5*C6+D5*D6+E5*E6+F5*F6+M12+M3+M6)-(C13*C14*D13+E13*E14*F13+G17*G18*H17+G13*G14*H13+I13*I14*J13+C17*C18*D17+E17*E18*F17+I17*I18*J17))*(IF(E21="Встык",VLOOKUP(B2,$T$16:$X$21,5,FALSE),VLOOKUP(B2,$T$16:$X$21,4,FALSE)))*(1+10%),0)," шт")</f>
        <v>92 шт</v>
      </c>
      <c r="AG27" s="1" t="s">
        <v>81</v>
      </c>
      <c r="AK27" s="17" t="s">
        <v>27</v>
      </c>
      <c r="AL27" s="87" t="str">
        <f>VLOOKUP(AK27,'1'!$D$2:$F$75,2,FALSE)</f>
        <v>RAL 1014</v>
      </c>
      <c r="AM27" s="87" t="str">
        <f>VLOOKUP(AK27,'1'!$D$2:$F$75,3,FALSE)</f>
        <v xml:space="preserve"> - </v>
      </c>
    </row>
    <row r="28" spans="1:39" ht="27.75" customHeight="1" x14ac:dyDescent="0.35">
      <c r="B28" s="91" t="s">
        <v>302</v>
      </c>
      <c r="C28" s="92"/>
      <c r="D28" s="92"/>
      <c r="E28" s="92"/>
      <c r="F28" s="93"/>
      <c r="G28" s="107"/>
      <c r="H28" s="103"/>
      <c r="I28" s="103"/>
      <c r="J28" s="103"/>
      <c r="K28" s="103"/>
      <c r="L28" s="94"/>
      <c r="AG28" s="1" t="s">
        <v>82</v>
      </c>
      <c r="AK28" s="17" t="s">
        <v>28</v>
      </c>
      <c r="AL28" s="87" t="str">
        <f>VLOOKUP(AK28,'1'!$D$2:$F$75,2,FALSE)</f>
        <v>RAL 1015</v>
      </c>
      <c r="AM28" s="87" t="str">
        <f>VLOOKUP(AK28,'1'!$D$2:$F$75,3,FALSE)</f>
        <v xml:space="preserve"> - </v>
      </c>
    </row>
    <row r="29" spans="1:39" ht="69" customHeight="1" x14ac:dyDescent="0.35">
      <c r="B29" s="115" t="str">
        <f>CONCATENATE("Стартовый профиль, длина 3 м, ",C3," ",VLOOKUP(C3,E2:G3,2,FALSE),)</f>
        <v>Стартовый профиль, длина 3 м, Глянцевое покрытие PurPro</v>
      </c>
      <c r="C29" s="116"/>
      <c r="D29" s="116"/>
      <c r="E29" s="116"/>
      <c r="F29" s="95" t="str">
        <f>CONCATENATE("в тон ", (VLOOKUP($C$3,$E$2:$I$3,3,FALSE)),";"," белый ", (VLOOKUP($C$3,$E$2:$I$3,4,FALSE)),"; темный ", (VLOOKUP($C$3,$E$2:$I$3,5,FALSE)),)</f>
        <v>в тон RAL 6005; белый RAL 9003; темный RAL 9005</v>
      </c>
      <c r="G29" s="99" t="s">
        <v>17</v>
      </c>
      <c r="H29" s="100"/>
      <c r="I29" s="100"/>
      <c r="J29" s="100"/>
      <c r="K29" s="100"/>
      <c r="L29" s="90" t="str">
        <f>CONCATENATE(CEILING(IF(E21="встык",SUM($C$5:$F$5)/3*(1+20%),(SUM($C$5:$F$5)+(C13*D13+E13*F13*G17*H17+G13*H13+I13*J13+C17*D17+E17*F17+I17*J17))/3*(1+20%)),1)," шт")</f>
        <v>5 шт</v>
      </c>
      <c r="AK29" s="17" t="s">
        <v>29</v>
      </c>
      <c r="AL29" s="87" t="str">
        <f>VLOOKUP(AK29,'1'!$D$2:$F$75,2,FALSE)</f>
        <v xml:space="preserve"> - </v>
      </c>
      <c r="AM29" s="87" t="str">
        <f>VLOOKUP(AK29,'1'!$D$2:$F$75,3,FALSE)</f>
        <v xml:space="preserve"> - </v>
      </c>
    </row>
    <row r="30" spans="1:39" ht="69" customHeight="1" x14ac:dyDescent="0.35">
      <c r="B30" s="117" t="str">
        <f>CONCATENATE("Профиль перфорированный вентиляционный, длина 2,5 м, ",C3," ",VLOOKUP(C3,E2:G3,2,FALSE))</f>
        <v>Профиль перфорированный вентиляционный, длина 2,5 м, Глянцевое покрытие PurPro</v>
      </c>
      <c r="C30" s="118"/>
      <c r="D30" s="118"/>
      <c r="E30" s="118"/>
      <c r="F30" s="95" t="str">
        <f t="shared" ref="F30:F37" si="0">CONCATENATE("в тон ", (VLOOKUP($C$3,$E$2:$I$3,3,FALSE)),";"," белый ", (VLOOKUP($C$3,$E$2:$I$3,4,FALSE)),"; темный ", (VLOOKUP($C$3,$E$2:$I$3,5,FALSE)),)</f>
        <v>в тон RAL 6005; белый RAL 9003; темный RAL 9005</v>
      </c>
      <c r="G30" s="99" t="s">
        <v>18</v>
      </c>
      <c r="H30" s="100"/>
      <c r="I30" s="100"/>
      <c r="J30" s="100"/>
      <c r="K30" s="100"/>
      <c r="L30" s="90" t="str">
        <f>CONCATENATE(CEILING(((SUM($C$5:$F$5)+($C$13*$D$13+$E$13*$F$13+$G$17*$H$17+G13*H13+I13*J13+C17*D17+E17*F17+I17*J17)))/2.5*(1+20%),1)," шт")</f>
        <v>6 шт</v>
      </c>
      <c r="AK30" s="17" t="s">
        <v>30</v>
      </c>
      <c r="AL30" s="87" t="str">
        <f>VLOOKUP(AK30,'1'!$D$2:$F$75,2,FALSE)</f>
        <v xml:space="preserve"> - </v>
      </c>
      <c r="AM30" s="87" t="str">
        <f>VLOOKUP(AK30,'1'!$D$2:$F$75,3,FALSE)</f>
        <v xml:space="preserve"> - </v>
      </c>
    </row>
    <row r="31" spans="1:39" s="3" customFormat="1" ht="69" customHeight="1" x14ac:dyDescent="0.35">
      <c r="A31" s="2"/>
      <c r="B31" s="115" t="str">
        <f>CONCATENATE("Угол внешний симметричный, длина 3 м, ",C3," ",VLOOKUP(C3,E2:G3,2,FALSE))</f>
        <v>Угол внешний симметричный, длина 3 м, Глянцевое покрытие PurPro</v>
      </c>
      <c r="C31" s="116"/>
      <c r="D31" s="116"/>
      <c r="E31" s="116"/>
      <c r="F31" s="95" t="str">
        <f t="shared" si="0"/>
        <v>в тон RAL 6005; белый RAL 9003; темный RAL 9005</v>
      </c>
      <c r="G31" s="99" t="s">
        <v>19</v>
      </c>
      <c r="H31" s="100"/>
      <c r="I31" s="100"/>
      <c r="J31" s="100"/>
      <c r="K31" s="100"/>
      <c r="L31" s="90" t="str">
        <f>CONCATENATE(CEILING($C$21*$D$21/3.05*(1+20%),1)," шт")</f>
        <v>2 шт</v>
      </c>
      <c r="AK31" s="17" t="s">
        <v>31</v>
      </c>
      <c r="AL31" s="87" t="str">
        <f>VLOOKUP(AK31,'1'!$D$2:$F$75,2,FALSE)</f>
        <v xml:space="preserve"> - </v>
      </c>
      <c r="AM31" s="87" t="str">
        <f>VLOOKUP(AK31,'1'!$D$2:$F$75,3,FALSE)</f>
        <v xml:space="preserve"> - </v>
      </c>
    </row>
    <row r="32" spans="1:39" ht="69" customHeight="1" x14ac:dyDescent="0.35">
      <c r="B32" s="115" t="str">
        <f>CONCATENATE("Угол внешний асимметричный, длина 3 м, ",C3," ",VLOOKUP(C3,E2:G3,2,FALSE))</f>
        <v>Угол внешний асимметричный, длина 3 м, Глянцевое покрытие PurPro</v>
      </c>
      <c r="C32" s="116"/>
      <c r="D32" s="116"/>
      <c r="E32" s="116"/>
      <c r="F32" s="95" t="str">
        <f t="shared" si="0"/>
        <v>в тон RAL 6005; белый RAL 9003; темный RAL 9005</v>
      </c>
      <c r="G32" s="99" t="s">
        <v>20</v>
      </c>
      <c r="H32" s="100"/>
      <c r="I32" s="100"/>
      <c r="J32" s="100"/>
      <c r="K32" s="100"/>
      <c r="L32" s="90" t="str">
        <f>CONCATENATE(CEILING((($C$14*2)*$D$13+($E$14*2)*$F$13+($G$18*2)*$H$17)+(G14*2)*H13+(I14*2)*J13+(C18*2)*D17+(E18*2)*F17+(I18*2)*J17/3.05*(1+20%),1)," шт")</f>
        <v>7 шт</v>
      </c>
      <c r="AC32" s="3"/>
      <c r="AD32" s="3"/>
      <c r="AK32" s="17" t="s">
        <v>33</v>
      </c>
      <c r="AL32" s="87" t="str">
        <f>VLOOKUP(AK32,'1'!$D$2:$F$75,2,FALSE)</f>
        <v>RAL 6005</v>
      </c>
      <c r="AM32" s="87" t="str">
        <f>VLOOKUP(AK32,'1'!$D$2:$F$75,3,FALSE)</f>
        <v>RAL 6005</v>
      </c>
    </row>
    <row r="33" spans="2:45" ht="69" customHeight="1" x14ac:dyDescent="0.35">
      <c r="B33" s="115" t="str">
        <f>CONCATENATE("Угол внутренний, длина 3 м, ",C3," ",VLOOKUP(C3,E2:G3,2,FALSE))</f>
        <v>Угол внутренний, длина 3 м, Глянцевое покрытие PurPro</v>
      </c>
      <c r="C33" s="116"/>
      <c r="D33" s="116"/>
      <c r="E33" s="116"/>
      <c r="F33" s="95" t="str">
        <f t="shared" si="0"/>
        <v>в тон RAL 6005; белый RAL 9003; темный RAL 9005</v>
      </c>
      <c r="G33" s="99" t="s">
        <v>21</v>
      </c>
      <c r="H33" s="100"/>
      <c r="I33" s="100"/>
      <c r="J33" s="100"/>
      <c r="K33" s="100"/>
      <c r="L33" s="90" t="str">
        <f>CONCATENATE(CEILING($C$22*$D$22/3.05*(1+20%),1)," шт")</f>
        <v>4 шт</v>
      </c>
      <c r="AC33" s="3"/>
      <c r="AD33" s="3"/>
      <c r="AK33" s="17" t="s">
        <v>32</v>
      </c>
      <c r="AL33" s="87" t="str">
        <f>VLOOKUP(AK33,'1'!$D$2:$F$75,2,FALSE)</f>
        <v xml:space="preserve"> - </v>
      </c>
      <c r="AM33" s="87" t="str">
        <f>VLOOKUP(AK33,'1'!$D$2:$F$75,3,FALSE)</f>
        <v xml:space="preserve"> - </v>
      </c>
    </row>
    <row r="34" spans="2:45" ht="69" customHeight="1" x14ac:dyDescent="0.35">
      <c r="B34" s="115" t="str">
        <f>CONCATENATE("Финишный профиль, длина 3 м, ",C3," ",VLOOKUP(C3,E2:G3,2,FALSE))</f>
        <v>Финишный профиль, длина 3 м, Глянцевое покрытие PurPro</v>
      </c>
      <c r="C34" s="116"/>
      <c r="D34" s="116"/>
      <c r="E34" s="116"/>
      <c r="F34" s="95" t="str">
        <f t="shared" si="0"/>
        <v>в тон RAL 6005; белый RAL 9003; темный RAL 9005</v>
      </c>
      <c r="G34" s="99" t="s">
        <v>143</v>
      </c>
      <c r="H34" s="100"/>
      <c r="I34" s="100"/>
      <c r="J34" s="100"/>
      <c r="K34" s="100"/>
      <c r="L34" s="90" t="str">
        <f>CONCATENATE(CEILING(($U$11+$U$12+$U$13+$U$14)/3.05*(1+20%),1)," шт")</f>
        <v>0 шт</v>
      </c>
      <c r="AC34" s="3"/>
      <c r="AD34" s="3"/>
      <c r="AK34" s="17" t="s">
        <v>37</v>
      </c>
      <c r="AL34" s="87" t="str">
        <f>VLOOKUP(AK34,'1'!$D$2:$F$75,2,FALSE)</f>
        <v>RAL 7004</v>
      </c>
      <c r="AM34" s="87" t="str">
        <f>VLOOKUP(AK34,'1'!$D$2:$F$75,3,FALSE)</f>
        <v>RAL 7004</v>
      </c>
    </row>
    <row r="35" spans="2:45" ht="69" customHeight="1" x14ac:dyDescent="0.35">
      <c r="B35" s="139" t="s">
        <v>320</v>
      </c>
      <c r="C35" s="140"/>
      <c r="D35" s="140"/>
      <c r="E35" s="140"/>
      <c r="F35" s="95" t="s">
        <v>173</v>
      </c>
      <c r="G35" s="104" t="s">
        <v>22</v>
      </c>
      <c r="H35" s="105"/>
      <c r="I35" s="105"/>
      <c r="J35" s="105"/>
      <c r="K35" s="105"/>
      <c r="L35" s="90" t="str">
        <f>CONCATENATE(MROUND(ROUNDUP((SUM($C$5:$F$5)/0.55*(SUM($C$6:$F$6))+($C$13*2+$C$14*2)*$D$13+($E$13*2+$E$14*2)*$F$13+($G$17*2+$G$18*2)+(G13*2+G14*2)*H13+(I13*2+I14*2)*J13+(C17*2+C18*2)*D17+(E17*2+E18*2)*F17+(I17*2+I18*2)*J17*$H$17+$C$21*$D$21+$C$22*$D$22),0)/30,1)," шт")</f>
        <v>3 шт</v>
      </c>
      <c r="AC35" s="3"/>
      <c r="AD35" s="3"/>
      <c r="AK35" s="17" t="s">
        <v>34</v>
      </c>
      <c r="AL35" s="87" t="str">
        <f>VLOOKUP(AK35,'1'!$D$2:$F$75,2,FALSE)</f>
        <v>RAL 7016</v>
      </c>
      <c r="AM35" s="87" t="str">
        <f>VLOOKUP(AK35,'1'!$D$2:$F$75,3,FALSE)</f>
        <v>RAL 7016</v>
      </c>
    </row>
    <row r="36" spans="2:45" ht="69" customHeight="1" x14ac:dyDescent="0.35">
      <c r="B36" s="115" t="str">
        <f>CONCATENATE("Соединительный профиль, длина 3 м, ",C3," ",VLOOKUP(C3,E2:G3,2,FALSE))</f>
        <v>Соединительный профиль, длина 3 м, Глянцевое покрытие PurPro</v>
      </c>
      <c r="C36" s="116"/>
      <c r="D36" s="116"/>
      <c r="E36" s="116"/>
      <c r="F36" s="95" t="str">
        <f t="shared" si="0"/>
        <v>в тон RAL 6005; белый RAL 9003; темный RAL 9005</v>
      </c>
      <c r="G36" s="99" t="s">
        <v>327</v>
      </c>
      <c r="H36" s="100"/>
      <c r="I36" s="100"/>
      <c r="J36" s="100"/>
      <c r="K36" s="100"/>
      <c r="L36" s="90" t="str">
        <f>IF(B2="Cedral",CONCATENATE(CEILING(((C13+C14*2)*D13+(E13+E14*2)*F13+(G13+G14*2)*H13+(I13+I14*2)*J13+(C17+C18*2)*D17+(E17+E18*2)*F17)/3.05*(1+20%),1)," шт"),"-")</f>
        <v>-</v>
      </c>
      <c r="AC36" s="3"/>
      <c r="AD36" s="3"/>
      <c r="AK36" s="17" t="s">
        <v>35</v>
      </c>
      <c r="AL36" s="87" t="str">
        <f>VLOOKUP(AK36,'1'!$D$2:$F$75,2,FALSE)</f>
        <v>RAL 7024</v>
      </c>
      <c r="AM36" s="87" t="str">
        <f>VLOOKUP(AK36,'1'!$D$2:$F$75,3,FALSE)</f>
        <v>RAL 7024</v>
      </c>
    </row>
    <row r="37" spans="2:45" ht="69" customHeight="1" x14ac:dyDescent="0.35">
      <c r="B37" s="137" t="str">
        <f>CONCATENATE("Планка приемная оконная, длина 3 м, ",C3," ",VLOOKUP(C3,E2:G3,2,FALSE))</f>
        <v>Планка приемная оконная, длина 3 м, Глянцевое покрытие PurPro</v>
      </c>
      <c r="C37" s="138"/>
      <c r="D37" s="138"/>
      <c r="E37" s="138"/>
      <c r="F37" s="95" t="str">
        <f t="shared" si="0"/>
        <v>в тон RAL 6005; белый RAL 9003; темный RAL 9005</v>
      </c>
      <c r="G37" s="102" t="s">
        <v>328</v>
      </c>
      <c r="H37" s="101"/>
      <c r="I37" s="101"/>
      <c r="J37" s="101"/>
      <c r="K37" s="101"/>
      <c r="L37" s="96" t="str">
        <f>IF(B2&lt;&gt;"Cedral",CONCATENATE(CEILING(((C13+C14*2)*D13+(E13+E14*2)*F13+(G13+G14*2)*H13+(I13+I14*2)*J13+(C17+C18*2)*D17+(E17+E18*2)*F17)/3.05*(1+20%),1)," шт"),"-")</f>
        <v>2 шт</v>
      </c>
      <c r="AC37" s="3"/>
      <c r="AD37" s="3"/>
      <c r="AK37" s="17" t="s">
        <v>36</v>
      </c>
      <c r="AL37" s="87" t="str">
        <f>VLOOKUP(AK37,'1'!$D$2:$F$75,2,FALSE)</f>
        <v>RAL 9006</v>
      </c>
      <c r="AM37" s="87" t="str">
        <f>VLOOKUP(AK37,'1'!$D$2:$F$75,3,FALSE)</f>
        <v xml:space="preserve"> - </v>
      </c>
    </row>
    <row r="38" spans="2:45" ht="69" customHeight="1" x14ac:dyDescent="0.35">
      <c r="B38" s="112" t="s">
        <v>303</v>
      </c>
      <c r="C38" s="113"/>
      <c r="D38" s="113"/>
      <c r="E38" s="113"/>
      <c r="F38" s="95" t="s">
        <v>173</v>
      </c>
      <c r="G38" s="102" t="s">
        <v>304</v>
      </c>
      <c r="H38" s="101"/>
      <c r="I38" s="101"/>
      <c r="J38" s="101"/>
      <c r="K38" s="101"/>
      <c r="L38" s="96" t="s">
        <v>321</v>
      </c>
      <c r="AC38" s="3"/>
      <c r="AD38" s="3"/>
      <c r="AK38" s="17" t="s">
        <v>38</v>
      </c>
      <c r="AL38" s="87" t="str">
        <f>VLOOKUP(AK38,'1'!$D$2:$F$75,2,FALSE)</f>
        <v>RAL 8004</v>
      </c>
      <c r="AM38" s="87" t="str">
        <f>VLOOKUP(AK38,'1'!$D$2:$F$75,3,FALSE)</f>
        <v>RAL 8004</v>
      </c>
    </row>
    <row r="39" spans="2:45" ht="37.5" customHeight="1" x14ac:dyDescent="0.35">
      <c r="B39" s="91" t="s">
        <v>293</v>
      </c>
      <c r="C39" s="92"/>
      <c r="D39" s="92"/>
      <c r="E39" s="92"/>
      <c r="F39" s="97"/>
      <c r="G39" s="103"/>
      <c r="H39" s="103"/>
      <c r="I39" s="103"/>
      <c r="J39" s="103"/>
      <c r="K39" s="103"/>
      <c r="L39" s="94"/>
      <c r="AC39" s="3"/>
      <c r="AD39" s="3"/>
      <c r="AK39" s="17" t="s">
        <v>39</v>
      </c>
      <c r="AL39" s="87" t="str">
        <f>VLOOKUP(AK39,'1'!$D$2:$F$75,2,FALSE)</f>
        <v>RAL 8017</v>
      </c>
      <c r="AM39" s="87" t="str">
        <f>VLOOKUP(AK39,'1'!$D$2:$F$75,3,FALSE)</f>
        <v>RAL 8017</v>
      </c>
    </row>
    <row r="40" spans="2:45" ht="27.75" customHeight="1" x14ac:dyDescent="0.35">
      <c r="B40" s="110" t="str">
        <f>'3'!F4</f>
        <v>Крепление стеновое усиленное AR П90х90х105Пр ОЦ (131888,280898)</v>
      </c>
      <c r="C40" s="111"/>
      <c r="D40" s="111"/>
      <c r="E40" s="111"/>
      <c r="F40" s="95"/>
      <c r="G40" s="101" t="s">
        <v>296</v>
      </c>
      <c r="H40" s="101"/>
      <c r="I40" s="101"/>
      <c r="J40" s="101"/>
      <c r="K40" s="101"/>
      <c r="L40" s="98" t="str">
        <f>CONCATENATE('3'!I4," шт")</f>
        <v>135 шт</v>
      </c>
      <c r="AC40" s="3"/>
      <c r="AD40" s="3"/>
      <c r="AK40" s="17" t="s">
        <v>40</v>
      </c>
      <c r="AL40" s="87" t="str">
        <f>VLOOKUP(AK40,'1'!$D$2:$F$75,2,FALSE)</f>
        <v>RR 32</v>
      </c>
      <c r="AM40" s="87" t="str">
        <f>VLOOKUP(AK40,'1'!$D$2:$F$75,3,FALSE)</f>
        <v>RR 32</v>
      </c>
    </row>
    <row r="41" spans="2:45" ht="37.5" customHeight="1" x14ac:dyDescent="0.35">
      <c r="B41" s="110" t="str">
        <f>'3'!F5</f>
        <v>Уплотнитель паронитовый 80х80 (142407)</v>
      </c>
      <c r="C41" s="111"/>
      <c r="D41" s="111"/>
      <c r="E41" s="111"/>
      <c r="F41" s="95"/>
      <c r="G41" s="101" t="s">
        <v>294</v>
      </c>
      <c r="H41" s="101"/>
      <c r="I41" s="101"/>
      <c r="J41" s="101"/>
      <c r="K41" s="101"/>
      <c r="L41" s="98" t="str">
        <f>CONCATENATE('3'!I5," шт")</f>
        <v>135 шт</v>
      </c>
      <c r="AC41" s="3"/>
      <c r="AD41" s="3"/>
      <c r="AK41" s="17" t="s">
        <v>41</v>
      </c>
      <c r="AL41" s="87" t="str">
        <f>VLOOKUP(AK41,'1'!$D$2:$F$75,2,FALSE)</f>
        <v>RAL 8004</v>
      </c>
      <c r="AM41" s="87" t="str">
        <f>VLOOKUP(AK41,'1'!$D$2:$F$75,3,FALSE)</f>
        <v>RAL 8004</v>
      </c>
    </row>
    <row r="42" spans="2:45" ht="37.5" customHeight="1" x14ac:dyDescent="0.35">
      <c r="B42" s="110" t="str">
        <f>'3'!F6</f>
        <v>Профиль вер. Основной Т-обр. AR BO69х50х1.2Т ОЦ ОН (152337)</v>
      </c>
      <c r="C42" s="111"/>
      <c r="D42" s="111"/>
      <c r="E42" s="111"/>
      <c r="F42" s="95"/>
      <c r="G42" s="101" t="s">
        <v>295</v>
      </c>
      <c r="H42" s="101"/>
      <c r="I42" s="101"/>
      <c r="J42" s="101"/>
      <c r="K42" s="101"/>
      <c r="L42" s="98" t="str">
        <f>CONCATENATE('3'!I6," м.п.")</f>
        <v>48 м.п.</v>
      </c>
      <c r="AC42" s="3"/>
      <c r="AD42" s="3"/>
      <c r="AK42" s="17" t="s">
        <v>42</v>
      </c>
      <c r="AL42" s="87" t="str">
        <f>VLOOKUP(AK42,'1'!$D$2:$F$75,2,FALSE)</f>
        <v>RAL 8017</v>
      </c>
      <c r="AM42" s="87" t="str">
        <f>VLOOKUP(AK42,'1'!$D$2:$F$75,3,FALSE)</f>
        <v>RAL 8017</v>
      </c>
    </row>
    <row r="43" spans="2:45" ht="37.5" customHeight="1" x14ac:dyDescent="0.35">
      <c r="B43" s="110" t="str">
        <f>'3'!F7</f>
        <v>Профиль горизонтальный основной AR ГО 40х40х1,2 ОЦ ОН (135512)</v>
      </c>
      <c r="C43" s="111"/>
      <c r="D43" s="111"/>
      <c r="E43" s="111"/>
      <c r="F43" s="95"/>
      <c r="G43" s="128" t="s">
        <v>297</v>
      </c>
      <c r="H43" s="129"/>
      <c r="I43" s="129"/>
      <c r="J43" s="129"/>
      <c r="K43" s="130"/>
      <c r="L43" s="98" t="str">
        <f>CONCATENATE('3'!I7," м.п.")</f>
        <v>33 м.п.</v>
      </c>
      <c r="AC43" s="3"/>
      <c r="AD43" s="3"/>
      <c r="AK43" s="17" t="s">
        <v>23</v>
      </c>
      <c r="AL43" s="87" t="str">
        <f>VLOOKUP(AK43,'1'!$D$2:$F$75,2,FALSE)</f>
        <v>RAL 9003</v>
      </c>
      <c r="AM43" s="87" t="str">
        <f>VLOOKUP(AK43,'1'!$D$2:$F$75,3,FALSE)</f>
        <v>RAL 9003</v>
      </c>
    </row>
    <row r="44" spans="2:45" ht="37.5" customHeight="1" x14ac:dyDescent="0.35">
      <c r="B44" s="110" t="str">
        <f>'3'!F8</f>
        <v>Профиль горизонтальный основной AR ГО 40х40х1,2 ОЦ ОН (135512), для внешних углов</v>
      </c>
      <c r="C44" s="111"/>
      <c r="D44" s="111"/>
      <c r="E44" s="111"/>
      <c r="F44" s="95"/>
      <c r="G44" s="131"/>
      <c r="H44" s="132"/>
      <c r="I44" s="132"/>
      <c r="J44" s="132"/>
      <c r="K44" s="133"/>
      <c r="L44" s="98" t="str">
        <f>CONCATENATE('3'!I8," м.п.")</f>
        <v>15 м.п.</v>
      </c>
      <c r="AC44" s="3"/>
      <c r="AD44" s="3"/>
      <c r="AK44" s="17" t="s">
        <v>25</v>
      </c>
      <c r="AL44" s="87" t="str">
        <f>VLOOKUP(AK44,'1'!$D$2:$F$75,2,FALSE)</f>
        <v>RAL 9003</v>
      </c>
      <c r="AM44" s="87" t="str">
        <f>VLOOKUP(AK44,'1'!$D$2:$F$75,3,FALSE)</f>
        <v>RAL 9003</v>
      </c>
    </row>
    <row r="45" spans="2:45" ht="37.5" customHeight="1" x14ac:dyDescent="0.35">
      <c r="B45" s="110" t="str">
        <f>'3'!F9</f>
        <v>Профиль горизонтальный основной AR ГО 40х60х1,2 ОЦ ОН (137031), для обрамления проемов</v>
      </c>
      <c r="C45" s="111"/>
      <c r="D45" s="111"/>
      <c r="E45" s="111"/>
      <c r="F45" s="95"/>
      <c r="G45" s="134"/>
      <c r="H45" s="135"/>
      <c r="I45" s="135"/>
      <c r="J45" s="135"/>
      <c r="K45" s="136"/>
      <c r="L45" s="98" t="str">
        <f>CONCATENATE('3'!I9," м.п.")</f>
        <v>12 м.п.</v>
      </c>
      <c r="AC45" s="3"/>
      <c r="AD45" s="3"/>
      <c r="AK45" s="17" t="s">
        <v>43</v>
      </c>
      <c r="AL45" s="87" t="str">
        <f>VLOOKUP(AK45,'1'!$D$2:$F$75,2,FALSE)</f>
        <v>RAL 9005</v>
      </c>
      <c r="AM45" s="87" t="str">
        <f>VLOOKUP(AK45,'1'!$D$2:$F$75,3,FALSE)</f>
        <v>RAL 9005</v>
      </c>
    </row>
    <row r="46" spans="2:45" ht="37.5" customHeight="1" x14ac:dyDescent="0.35">
      <c r="B46" s="110" t="str">
        <f>'3'!F10</f>
        <v>Заклепка вытяжная 4х10 нерж\нерж (по 500 шт) (198945) или саморез 4,8х19 без шайбы (500 шт) (233293)</v>
      </c>
      <c r="C46" s="111"/>
      <c r="D46" s="111"/>
      <c r="E46" s="111"/>
      <c r="F46" s="95"/>
      <c r="G46" s="101" t="s">
        <v>298</v>
      </c>
      <c r="H46" s="101"/>
      <c r="I46" s="101"/>
      <c r="J46" s="101"/>
      <c r="K46" s="101"/>
      <c r="L46" s="98" t="str">
        <f>CONCATENATE('3'!I10," шт")</f>
        <v>500 шт</v>
      </c>
      <c r="AC46" s="3"/>
      <c r="AD46" s="3"/>
      <c r="AK46" s="17" t="s">
        <v>24</v>
      </c>
      <c r="AL46" s="87" t="str">
        <f>VLOOKUP(AK46,'1'!$D$2:$F$75,2,FALSE)</f>
        <v>RAL 9003</v>
      </c>
      <c r="AM46" s="87" t="str">
        <f>VLOOKUP(AK46,'1'!$D$2:$F$75,3,FALSE)</f>
        <v>RAL 9003</v>
      </c>
    </row>
    <row r="47" spans="2:45" ht="37.5" customHeight="1" x14ac:dyDescent="0.35">
      <c r="B47" s="110" t="str">
        <f>'3'!F11</f>
        <v>Анкерный дюбель Rawlplug 10х100 (264637)</v>
      </c>
      <c r="C47" s="111"/>
      <c r="D47" s="111"/>
      <c r="E47" s="111"/>
      <c r="F47" s="95"/>
      <c r="G47" s="101" t="s">
        <v>299</v>
      </c>
      <c r="H47" s="101"/>
      <c r="I47" s="101"/>
      <c r="J47" s="101"/>
      <c r="K47" s="101"/>
      <c r="L47" s="98" t="str">
        <f>CONCATENATE('3'!I11," шт")</f>
        <v>135 шт</v>
      </c>
      <c r="AC47" s="3"/>
      <c r="AD47" s="3"/>
      <c r="AK47" s="17" t="s">
        <v>58</v>
      </c>
      <c r="AL47" s="87" t="str">
        <f>VLOOKUP(AK47,'1'!$D$2:$F$75,2,FALSE)</f>
        <v>RAL 9003</v>
      </c>
      <c r="AM47" s="87" t="str">
        <f>VLOOKUP(AK47,'1'!$D$2:$F$75,3,FALSE)</f>
        <v>RAL 9003</v>
      </c>
    </row>
    <row r="48" spans="2:45" ht="37.5" customHeight="1" x14ac:dyDescent="0.35">
      <c r="B48" s="110" t="str">
        <f>'3'!F12</f>
        <v>-</v>
      </c>
      <c r="C48" s="111"/>
      <c r="D48" s="111"/>
      <c r="E48" s="111"/>
      <c r="F48" s="95"/>
      <c r="G48" s="101" t="str">
        <f>IF(B48="-","","Для дозирования химических анкеров")</f>
        <v/>
      </c>
      <c r="H48" s="101"/>
      <c r="I48" s="101"/>
      <c r="J48" s="101"/>
      <c r="K48" s="101"/>
      <c r="L48" s="98" t="str">
        <f>IF('3'!I12="-",'3'!I12,CONCATENATE('3'!I12," шт"))</f>
        <v>-</v>
      </c>
      <c r="AC48" s="3"/>
      <c r="AD48" s="3"/>
      <c r="AK48" s="17" t="s">
        <v>59</v>
      </c>
      <c r="AL48" s="87" t="str">
        <f>VLOOKUP(AK48,'1'!$D$2:$F$75,2,FALSE)</f>
        <v>RAL 9003</v>
      </c>
      <c r="AM48" s="87" t="str">
        <f>VLOOKUP(AK48,'1'!$D$2:$F$75,3,FALSE)</f>
        <v>RAL 9003</v>
      </c>
      <c r="AS48" s="26"/>
    </row>
    <row r="49" spans="2:45" ht="37.5" customHeight="1" x14ac:dyDescent="0.35">
      <c r="B49" s="110" t="str">
        <f>'3'!F13</f>
        <v>-</v>
      </c>
      <c r="C49" s="111"/>
      <c r="D49" s="111"/>
      <c r="E49" s="111"/>
      <c r="F49" s="95"/>
      <c r="G49" s="101" t="str">
        <f>IF(B49="-","","Для использования с резьбовыми шпильками под небольшой и средней нагрузкой")</f>
        <v/>
      </c>
      <c r="H49" s="101"/>
      <c r="I49" s="101"/>
      <c r="J49" s="101"/>
      <c r="K49" s="101"/>
      <c r="L49" s="98" t="str">
        <f>IF('3'!I13="-",'3'!I13,CONCATENATE('3'!I13," шт"))</f>
        <v>-</v>
      </c>
      <c r="AC49" s="3"/>
      <c r="AD49" s="3"/>
      <c r="AK49" s="17" t="s">
        <v>60</v>
      </c>
      <c r="AL49" s="87" t="str">
        <f>VLOOKUP(AK49,'1'!$D$2:$F$75,2,FALSE)</f>
        <v>RAL 7004</v>
      </c>
      <c r="AM49" s="87" t="str">
        <f>VLOOKUP(AK49,'1'!$D$2:$F$75,3,FALSE)</f>
        <v xml:space="preserve"> - </v>
      </c>
      <c r="AS49" s="26"/>
    </row>
    <row r="50" spans="2:45" ht="37.5" customHeight="1" x14ac:dyDescent="0.35">
      <c r="B50" s="110" t="str">
        <f>'3'!F14</f>
        <v>-</v>
      </c>
      <c r="C50" s="111"/>
      <c r="D50" s="111"/>
      <c r="E50" s="111"/>
      <c r="F50" s="95"/>
      <c r="G50" s="101" t="str">
        <f>IF(B50="-","","Используется для организации химической анкеровки крепежных элементов, идеально подходит для ситуаций, когда механические анкеры не подходят.")</f>
        <v/>
      </c>
      <c r="H50" s="101"/>
      <c r="I50" s="101"/>
      <c r="J50" s="101"/>
      <c r="K50" s="101"/>
      <c r="L50" s="98" t="str">
        <f>IF('3'!I14="-",'3'!I14,CONCATENATE('3'!I14," туба"))</f>
        <v>-</v>
      </c>
      <c r="AC50" s="3"/>
      <c r="AD50" s="3"/>
      <c r="AK50" s="17" t="s">
        <v>61</v>
      </c>
      <c r="AL50" s="87" t="str">
        <f>VLOOKUP(AK50,'1'!$D$2:$F$75,2,FALSE)</f>
        <v>RAL 1014</v>
      </c>
      <c r="AM50" s="87" t="str">
        <f>VLOOKUP(AK50,'1'!$D$2:$F$75,3,FALSE)</f>
        <v xml:space="preserve"> - </v>
      </c>
      <c r="AS50" s="26"/>
    </row>
    <row r="51" spans="2:45" ht="37.5" customHeight="1" x14ac:dyDescent="0.35">
      <c r="B51" s="110" t="str">
        <f>'3'!F15</f>
        <v>-</v>
      </c>
      <c r="C51" s="111"/>
      <c r="D51" s="111"/>
      <c r="E51" s="111"/>
      <c r="F51" s="95"/>
      <c r="G51" s="101" t="str">
        <f>IF(B51="-","","Предназначен для применения в качестве теплоизоляционного слоя в навесных фасадных системах.")</f>
        <v/>
      </c>
      <c r="H51" s="101"/>
      <c r="I51" s="101"/>
      <c r="J51" s="101"/>
      <c r="K51" s="101"/>
      <c r="L51" s="98" t="str">
        <f>IF('3'!I15="-",'3'!I15,CONCATENATE('3'!I15," уп"))</f>
        <v>-</v>
      </c>
      <c r="AC51" s="3"/>
      <c r="AD51" s="3"/>
      <c r="AK51" s="17" t="s">
        <v>62</v>
      </c>
      <c r="AL51" s="87" t="str">
        <f>VLOOKUP(AK51,'1'!$D$2:$F$75,2,FALSE)</f>
        <v>RAL 1014</v>
      </c>
      <c r="AM51" s="87" t="str">
        <f>VLOOKUP(AK51,'1'!$D$2:$F$75,3,FALSE)</f>
        <v xml:space="preserve"> - </v>
      </c>
      <c r="AS51" s="26"/>
    </row>
    <row r="52" spans="2:45" ht="37.5" customHeight="1" x14ac:dyDescent="0.35">
      <c r="B52" s="110" t="str">
        <f>'3'!F16</f>
        <v>-</v>
      </c>
      <c r="C52" s="111"/>
      <c r="D52" s="111"/>
      <c r="E52" s="111"/>
      <c r="F52" s="95"/>
      <c r="G52" s="101" t="str">
        <f>IF(B52="-","","Предназначен для крепления к стенам различных теплоизоляционных материалов - плит из минеральной и каменной ваты, пенополистирола, пенопласта и других.")</f>
        <v/>
      </c>
      <c r="H52" s="101"/>
      <c r="I52" s="101"/>
      <c r="J52" s="101"/>
      <c r="K52" s="101"/>
      <c r="L52" s="98" t="str">
        <f>IF('3'!I16="-","-",CONCATENATE('3'!I16," шт"))</f>
        <v>-</v>
      </c>
      <c r="AC52" s="3"/>
      <c r="AD52" s="3"/>
      <c r="AK52" s="17" t="s">
        <v>63</v>
      </c>
      <c r="AL52" s="87" t="str">
        <f>VLOOKUP(AK52,'1'!$D$2:$F$75,2,FALSE)</f>
        <v>RAL 1015</v>
      </c>
      <c r="AM52" s="87" t="str">
        <f>VLOOKUP(AK52,'1'!$D$2:$F$75,3,FALSE)</f>
        <v xml:space="preserve"> - </v>
      </c>
      <c r="AS52" s="26"/>
    </row>
    <row r="53" spans="2:45" ht="37.5" customHeight="1" x14ac:dyDescent="0.35">
      <c r="B53" s="110" t="str">
        <f>IF(B52="-","-","Ветро-влагозащитная пленка Grand Line Facade")</f>
        <v>-</v>
      </c>
      <c r="C53" s="111"/>
      <c r="D53" s="111"/>
      <c r="E53" s="111"/>
      <c r="F53" s="95"/>
      <c r="G53" s="101" t="str">
        <f>IF(B53="-","","Защищает утеплитель и внутренние конструкции с внешней стороны от влаги, конденсата и проникновения холодного воздуха.")</f>
        <v/>
      </c>
      <c r="H53" s="101"/>
      <c r="I53" s="101"/>
      <c r="J53" s="101"/>
      <c r="K53" s="101"/>
      <c r="L53" s="98" t="str">
        <f>IF(B53="-","-",CONCATENATE((ROUNDUP((C5*C6+D5*D6+E5*E6+F5*F6)/65,0))," рул"))</f>
        <v>-</v>
      </c>
      <c r="AC53" s="3"/>
      <c r="AD53" s="3"/>
      <c r="AK53" s="17" t="s">
        <v>64</v>
      </c>
      <c r="AL53" s="87" t="str">
        <f>VLOOKUP(AK53,'1'!$D$2:$F$75,2,FALSE)</f>
        <v xml:space="preserve"> - </v>
      </c>
      <c r="AM53" s="87" t="str">
        <f>VLOOKUP(AK53,'1'!$D$2:$F$75,3,FALSE)</f>
        <v xml:space="preserve"> - </v>
      </c>
      <c r="AS53" s="26"/>
    </row>
    <row r="54" spans="2:45" ht="24" customHeight="1" x14ac:dyDescent="0.35">
      <c r="AC54" s="3"/>
      <c r="AD54" s="3"/>
      <c r="AK54" s="17" t="s">
        <v>65</v>
      </c>
      <c r="AL54" s="87" t="str">
        <f>VLOOKUP(AK54,'1'!$D$2:$F$75,2,FALSE)</f>
        <v xml:space="preserve"> - </v>
      </c>
      <c r="AM54" s="87" t="str">
        <f>VLOOKUP(AK54,'1'!$D$2:$F$75,3,FALSE)</f>
        <v xml:space="preserve"> - </v>
      </c>
      <c r="AS54" s="26"/>
    </row>
    <row r="55" spans="2:45" hidden="1" x14ac:dyDescent="0.35">
      <c r="B55" s="108"/>
      <c r="C55" s="108"/>
      <c r="D55" s="108"/>
      <c r="E55" s="108"/>
      <c r="F55" s="109"/>
      <c r="G55" s="109"/>
      <c r="H55" s="109"/>
      <c r="I55" s="109"/>
      <c r="J55" s="78"/>
      <c r="K55" s="79"/>
      <c r="AC55" s="3"/>
      <c r="AD55" s="3"/>
      <c r="AK55" s="17" t="s">
        <v>66</v>
      </c>
      <c r="AL55" s="87" t="str">
        <f>VLOOKUP(AK55,'1'!$D$2:$F$75,2,FALSE)</f>
        <v>RAL 6005</v>
      </c>
      <c r="AM55" s="87" t="str">
        <f>VLOOKUP(AK55,'1'!$D$2:$F$75,3,FALSE)</f>
        <v>RAL 6005</v>
      </c>
      <c r="AS55" s="26"/>
    </row>
    <row r="56" spans="2:45" hidden="1" x14ac:dyDescent="0.35">
      <c r="B56" s="108"/>
      <c r="C56" s="108"/>
      <c r="D56" s="108"/>
      <c r="E56" s="108"/>
      <c r="F56" s="109"/>
      <c r="G56" s="109"/>
      <c r="H56" s="109"/>
      <c r="I56" s="109"/>
      <c r="J56" s="78"/>
      <c r="K56" s="79"/>
      <c r="AC56" s="3"/>
      <c r="AD56" s="3"/>
      <c r="AK56" s="17" t="s">
        <v>67</v>
      </c>
      <c r="AL56" s="87" t="str">
        <f>VLOOKUP(AK56,'1'!$D$2:$F$75,2,FALSE)</f>
        <v xml:space="preserve"> - </v>
      </c>
      <c r="AM56" s="87" t="str">
        <f>VLOOKUP(AK56,'1'!$D$2:$F$75,3,FALSE)</f>
        <v xml:space="preserve"> - </v>
      </c>
      <c r="AS56" s="26"/>
    </row>
    <row r="57" spans="2:45" hidden="1" x14ac:dyDescent="0.35">
      <c r="B57" s="108"/>
      <c r="C57" s="108"/>
      <c r="D57" s="108"/>
      <c r="E57" s="108"/>
      <c r="F57" s="109"/>
      <c r="G57" s="109"/>
      <c r="H57" s="109"/>
      <c r="I57" s="109"/>
      <c r="J57" s="78"/>
      <c r="K57" s="79"/>
      <c r="AC57" s="3"/>
      <c r="AD57" s="3"/>
      <c r="AK57" s="17" t="s">
        <v>68</v>
      </c>
      <c r="AL57" s="87" t="str">
        <f>VLOOKUP(AK57,'1'!$D$2:$F$75,2,FALSE)</f>
        <v xml:space="preserve"> - </v>
      </c>
      <c r="AM57" s="87" t="str">
        <f>VLOOKUP(AK57,'1'!$D$2:$F$75,3,FALSE)</f>
        <v xml:space="preserve"> - </v>
      </c>
      <c r="AS57" s="26"/>
    </row>
    <row r="58" spans="2:45" hidden="1" x14ac:dyDescent="0.35">
      <c r="AC58" s="3"/>
      <c r="AD58" s="3"/>
      <c r="AK58" s="17" t="s">
        <v>69</v>
      </c>
      <c r="AL58" s="87" t="str">
        <f>VLOOKUP(AK58,'1'!$D$2:$F$75,2,FALSE)</f>
        <v xml:space="preserve"> - </v>
      </c>
      <c r="AM58" s="87" t="str">
        <f>VLOOKUP(AK58,'1'!$D$2:$F$75,3,FALSE)</f>
        <v xml:space="preserve"> - </v>
      </c>
      <c r="AS58" s="26"/>
    </row>
    <row r="59" spans="2:45" hidden="1" x14ac:dyDescent="0.35">
      <c r="AC59" s="3"/>
      <c r="AD59" s="3"/>
      <c r="AK59" s="17" t="s">
        <v>70</v>
      </c>
      <c r="AL59" s="87" t="str">
        <f>VLOOKUP(AK59,'1'!$D$2:$F$75,2,FALSE)</f>
        <v xml:space="preserve"> - </v>
      </c>
      <c r="AM59" s="87" t="str">
        <f>VLOOKUP(AK59,'1'!$D$2:$F$75,3,FALSE)</f>
        <v xml:space="preserve"> - </v>
      </c>
      <c r="AS59" s="26"/>
    </row>
    <row r="60" spans="2:45" hidden="1" x14ac:dyDescent="0.35">
      <c r="AC60" s="3"/>
      <c r="AD60" s="3"/>
      <c r="AK60" s="17" t="s">
        <v>71</v>
      </c>
      <c r="AL60" s="87" t="str">
        <f>VLOOKUP(AK60,'1'!$D$2:$F$75,2,FALSE)</f>
        <v>RAL 7004</v>
      </c>
      <c r="AM60" s="87" t="str">
        <f>VLOOKUP(AK60,'1'!$D$2:$F$75,3,FALSE)</f>
        <v>RAL 7004</v>
      </c>
      <c r="AS60" s="26"/>
    </row>
    <row r="61" spans="2:45" hidden="1" x14ac:dyDescent="0.35">
      <c r="AC61" s="3"/>
      <c r="AD61" s="3"/>
      <c r="AK61" s="17" t="s">
        <v>72</v>
      </c>
      <c r="AL61" s="87" t="str">
        <f>VLOOKUP(AK61,'1'!$D$2:$F$75,2,FALSE)</f>
        <v>RAL 7004</v>
      </c>
      <c r="AM61" s="87" t="str">
        <f>VLOOKUP(AK61,'1'!$D$2:$F$75,3,FALSE)</f>
        <v>RAL 7004</v>
      </c>
      <c r="AS61" s="26"/>
    </row>
    <row r="62" spans="2:45" hidden="1" x14ac:dyDescent="0.35">
      <c r="AC62" s="3"/>
      <c r="AD62" s="3"/>
      <c r="AK62" s="17" t="s">
        <v>60</v>
      </c>
      <c r="AL62" s="87" t="str">
        <f>VLOOKUP(AK62,'1'!$D$2:$F$75,2,FALSE)</f>
        <v>RAL 7004</v>
      </c>
      <c r="AM62" s="87" t="str">
        <f>VLOOKUP(AK62,'1'!$D$2:$F$75,3,FALSE)</f>
        <v xml:space="preserve"> - </v>
      </c>
      <c r="AS62" s="26"/>
    </row>
    <row r="63" spans="2:45" hidden="1" x14ac:dyDescent="0.35">
      <c r="AC63" s="3"/>
      <c r="AD63" s="3"/>
      <c r="AK63" s="17" t="s">
        <v>73</v>
      </c>
      <c r="AL63" s="87" t="str">
        <f>VLOOKUP(AK63,'1'!$D$2:$F$75,2,FALSE)</f>
        <v xml:space="preserve"> - </v>
      </c>
      <c r="AM63" s="87" t="str">
        <f>VLOOKUP(AK63,'1'!$D$2:$F$75,3,FALSE)</f>
        <v xml:space="preserve"> - </v>
      </c>
      <c r="AS63" s="26"/>
    </row>
    <row r="64" spans="2:45" hidden="1" x14ac:dyDescent="0.35">
      <c r="AC64" s="3"/>
      <c r="AD64" s="3"/>
      <c r="AK64" s="17" t="s">
        <v>74</v>
      </c>
      <c r="AL64" s="87" t="str">
        <f>VLOOKUP(AK64,'1'!$D$2:$F$75,2,FALSE)</f>
        <v>RAL 9006</v>
      </c>
      <c r="AM64" s="87" t="str">
        <f>VLOOKUP(AK64,'1'!$D$2:$F$75,3,FALSE)</f>
        <v xml:space="preserve"> - </v>
      </c>
      <c r="AS64" s="26"/>
    </row>
    <row r="65" spans="29:45" hidden="1" x14ac:dyDescent="0.35">
      <c r="AC65" s="3"/>
      <c r="AD65" s="3"/>
      <c r="AK65" s="17" t="s">
        <v>75</v>
      </c>
      <c r="AL65" s="87" t="str">
        <f>VLOOKUP(AK65,'1'!$D$2:$F$75,2,FALSE)</f>
        <v>RR 32</v>
      </c>
      <c r="AM65" s="87" t="str">
        <f>VLOOKUP(AK65,'1'!$D$2:$F$75,3,FALSE)</f>
        <v>RR 32</v>
      </c>
      <c r="AS65" s="26"/>
    </row>
    <row r="66" spans="29:45" hidden="1" x14ac:dyDescent="0.35">
      <c r="AC66" s="3"/>
      <c r="AD66" s="3"/>
      <c r="AK66" s="17" t="s">
        <v>76</v>
      </c>
      <c r="AL66" s="87" t="str">
        <f>VLOOKUP(AK66,'1'!$D$2:$F$75,2,FALSE)</f>
        <v>RAL 8017</v>
      </c>
      <c r="AM66" s="87" t="str">
        <f>VLOOKUP(AK66,'1'!$D$2:$F$75,3,FALSE)</f>
        <v>RAL 8017</v>
      </c>
      <c r="AS66" s="26"/>
    </row>
    <row r="67" spans="29:45" hidden="1" x14ac:dyDescent="0.35">
      <c r="AC67" s="3"/>
      <c r="AD67" s="3"/>
      <c r="AK67" s="17" t="s">
        <v>77</v>
      </c>
      <c r="AL67" s="87" t="str">
        <f>VLOOKUP(AK67,'1'!$D$2:$F$75,2,FALSE)</f>
        <v>RAL 8004</v>
      </c>
      <c r="AM67" s="87" t="str">
        <f>VLOOKUP(AK67,'1'!$D$2:$F$75,3,FALSE)</f>
        <v>RAL 8004</v>
      </c>
      <c r="AS67" s="26"/>
    </row>
    <row r="68" spans="29:45" hidden="1" x14ac:dyDescent="0.35">
      <c r="AC68" s="3"/>
      <c r="AD68" s="3"/>
      <c r="AK68" s="17" t="s">
        <v>78</v>
      </c>
      <c r="AL68" s="87" t="str">
        <f>VLOOKUP(AK68,'1'!$D$2:$F$75,2,FALSE)</f>
        <v>RAL 8004</v>
      </c>
      <c r="AM68" s="87" t="str">
        <f>VLOOKUP(AK68,'1'!$D$2:$F$75,3,FALSE)</f>
        <v>RAL 8004</v>
      </c>
      <c r="AS68" s="26"/>
    </row>
    <row r="69" spans="29:45" hidden="1" x14ac:dyDescent="0.35">
      <c r="AC69" s="3"/>
      <c r="AD69" s="3"/>
      <c r="AK69" s="17" t="s">
        <v>79</v>
      </c>
      <c r="AL69" s="87" t="str">
        <f>VLOOKUP(AK69,'1'!$D$2:$F$75,2,FALSE)</f>
        <v xml:space="preserve"> - </v>
      </c>
      <c r="AM69" s="87" t="str">
        <f>VLOOKUP(AK69,'1'!$D$2:$F$75,3,FALSE)</f>
        <v xml:space="preserve"> - </v>
      </c>
      <c r="AS69" s="26"/>
    </row>
    <row r="70" spans="29:45" hidden="1" x14ac:dyDescent="0.35">
      <c r="AC70" s="3"/>
      <c r="AD70" s="3"/>
      <c r="AK70" s="17" t="s">
        <v>75</v>
      </c>
      <c r="AL70" s="87" t="str">
        <f>VLOOKUP(AK70,'1'!$D$2:$F$75,2,FALSE)</f>
        <v>RR 32</v>
      </c>
      <c r="AM70" s="87" t="str">
        <f>VLOOKUP(AK70,'1'!$D$2:$F$75,3,FALSE)</f>
        <v>RR 32</v>
      </c>
      <c r="AS70" s="26"/>
    </row>
    <row r="71" spans="29:45" hidden="1" x14ac:dyDescent="0.35">
      <c r="AC71" s="3"/>
      <c r="AD71" s="3"/>
      <c r="AK71" s="17" t="s">
        <v>80</v>
      </c>
      <c r="AL71" s="87" t="str">
        <f>VLOOKUP(AK71,'1'!$D$2:$F$75,2,FALSE)</f>
        <v>RAL 7016</v>
      </c>
      <c r="AM71" s="87" t="str">
        <f>VLOOKUP(AK71,'1'!$D$2:$F$75,3,FALSE)</f>
        <v>RAL 7016</v>
      </c>
      <c r="AS71" s="26"/>
    </row>
    <row r="72" spans="29:45" hidden="1" x14ac:dyDescent="0.35">
      <c r="AC72" s="3"/>
      <c r="AD72" s="3"/>
      <c r="AK72" s="17" t="s">
        <v>81</v>
      </c>
      <c r="AL72" s="87" t="str">
        <f>VLOOKUP(AK72,'1'!$D$2:$F$75,2,FALSE)</f>
        <v>RAL 7024</v>
      </c>
      <c r="AM72" s="87" t="str">
        <f>VLOOKUP(AK72,'1'!$D$2:$F$75,3,FALSE)</f>
        <v>RAL 7024</v>
      </c>
      <c r="AS72" s="26"/>
    </row>
    <row r="73" spans="29:45" hidden="1" x14ac:dyDescent="0.35">
      <c r="AC73" s="3"/>
      <c r="AD73" s="3"/>
      <c r="AK73" s="17" t="s">
        <v>82</v>
      </c>
      <c r="AL73" s="87" t="str">
        <f>VLOOKUP(AK73,'1'!$D$2:$F$75,2,FALSE)</f>
        <v>RAL 9005</v>
      </c>
      <c r="AM73" s="87" t="str">
        <f>VLOOKUP(AK73,'1'!$D$2:$F$75,3,FALSE)</f>
        <v>RAL 9005</v>
      </c>
      <c r="AS73" s="26"/>
    </row>
    <row r="74" spans="29:45" hidden="1" x14ac:dyDescent="0.35">
      <c r="AC74" s="3"/>
      <c r="AD74" s="3"/>
      <c r="AK74" s="87" t="s">
        <v>47</v>
      </c>
      <c r="AL74" s="87" t="str">
        <f>VLOOKUP(AK74,'1'!$D$2:$F$75,2,FALSE)</f>
        <v>RAL 7004</v>
      </c>
      <c r="AM74" s="87" t="str">
        <f>VLOOKUP(AK74,'1'!$D$2:$F$75,3,FALSE)</f>
        <v>RAL 7004</v>
      </c>
      <c r="AS74" s="26"/>
    </row>
    <row r="75" spans="29:45" hidden="1" x14ac:dyDescent="0.35">
      <c r="AC75" s="3"/>
      <c r="AD75" s="3"/>
      <c r="AK75" s="87" t="s">
        <v>86</v>
      </c>
      <c r="AL75" s="87" t="str">
        <f>VLOOKUP(AK75,'1'!$D$2:$F$75,2,FALSE)</f>
        <v xml:space="preserve"> - </v>
      </c>
      <c r="AM75" s="87" t="str">
        <f>VLOOKUP(AK75,'1'!$D$2:$F$75,3,FALSE)</f>
        <v xml:space="preserve"> - </v>
      </c>
      <c r="AS75" s="26"/>
    </row>
    <row r="76" spans="29:45" hidden="1" x14ac:dyDescent="0.35">
      <c r="AC76" s="3"/>
      <c r="AD76" s="3"/>
      <c r="AS76" s="26"/>
    </row>
    <row r="77" spans="29:45" hidden="1" x14ac:dyDescent="0.35">
      <c r="AC77" s="3"/>
      <c r="AD77" s="3"/>
      <c r="AS77" s="26"/>
    </row>
    <row r="78" spans="29:45" hidden="1" x14ac:dyDescent="0.35">
      <c r="AC78" s="3"/>
      <c r="AD78" s="3"/>
      <c r="AS78" s="26"/>
    </row>
    <row r="79" spans="29:45" hidden="1" x14ac:dyDescent="0.35">
      <c r="AC79" s="3"/>
      <c r="AD79" s="3"/>
      <c r="AS79" s="26"/>
    </row>
    <row r="80" spans="29:45" hidden="1" x14ac:dyDescent="0.35">
      <c r="AC80" s="3"/>
      <c r="AD80" s="3"/>
      <c r="AS80" s="26"/>
    </row>
    <row r="81" spans="29:45" hidden="1" x14ac:dyDescent="0.35">
      <c r="AC81" s="3"/>
      <c r="AD81" s="3"/>
      <c r="AS81" s="26"/>
    </row>
    <row r="82" spans="29:45" hidden="1" x14ac:dyDescent="0.35">
      <c r="AC82" s="3"/>
      <c r="AD82" s="3"/>
      <c r="AS82" s="26"/>
    </row>
    <row r="83" spans="29:45" hidden="1" x14ac:dyDescent="0.35">
      <c r="AC83" s="3"/>
      <c r="AD83" s="3"/>
      <c r="AS83" s="26"/>
    </row>
    <row r="84" spans="29:45" hidden="1" x14ac:dyDescent="0.35">
      <c r="AC84" s="3"/>
      <c r="AD84" s="3"/>
      <c r="AS84" s="26"/>
    </row>
    <row r="85" spans="29:45" hidden="1" x14ac:dyDescent="0.35">
      <c r="AC85" s="3"/>
      <c r="AD85" s="3"/>
      <c r="AS85" s="26"/>
    </row>
    <row r="86" spans="29:45" hidden="1" x14ac:dyDescent="0.35">
      <c r="AC86" s="3"/>
      <c r="AD86" s="3"/>
      <c r="AS86" s="26"/>
    </row>
    <row r="87" spans="29:45" hidden="1" x14ac:dyDescent="0.35">
      <c r="AC87" s="3"/>
      <c r="AD87" s="3"/>
      <c r="AS87" s="26"/>
    </row>
    <row r="88" spans="29:45" hidden="1" x14ac:dyDescent="0.35">
      <c r="AC88" s="3"/>
      <c r="AD88" s="3"/>
      <c r="AS88" s="26"/>
    </row>
    <row r="89" spans="29:45" hidden="1" x14ac:dyDescent="0.35">
      <c r="AC89" s="3"/>
      <c r="AD89" s="3"/>
      <c r="AS89" s="26"/>
    </row>
    <row r="90" spans="29:45" hidden="1" x14ac:dyDescent="0.35">
      <c r="AC90" s="3"/>
      <c r="AD90" s="3"/>
      <c r="AS90" s="26"/>
    </row>
    <row r="91" spans="29:45" hidden="1" x14ac:dyDescent="0.35">
      <c r="AC91" s="3"/>
      <c r="AD91" s="3"/>
      <c r="AS91" s="26"/>
    </row>
    <row r="92" spans="29:45" hidden="1" x14ac:dyDescent="0.35">
      <c r="AC92" s="3"/>
      <c r="AD92" s="3"/>
      <c r="AS92" s="26"/>
    </row>
    <row r="93" spans="29:45" hidden="1" x14ac:dyDescent="0.35">
      <c r="AC93" s="3"/>
      <c r="AD93" s="3"/>
      <c r="AS93" s="26"/>
    </row>
    <row r="94" spans="29:45" hidden="1" x14ac:dyDescent="0.35">
      <c r="AC94" s="3"/>
      <c r="AD94" s="3"/>
      <c r="AS94" s="26"/>
    </row>
    <row r="95" spans="29:45" hidden="1" x14ac:dyDescent="0.35">
      <c r="AC95" s="3"/>
      <c r="AD95" s="3"/>
      <c r="AS95" s="26"/>
    </row>
    <row r="96" spans="29:45" hidden="1" x14ac:dyDescent="0.35">
      <c r="AC96" s="3"/>
      <c r="AD96" s="3"/>
      <c r="AS96" s="26"/>
    </row>
    <row r="97" spans="29:45" hidden="1" x14ac:dyDescent="0.35">
      <c r="AC97" s="3"/>
      <c r="AD97" s="3"/>
      <c r="AS97" s="26"/>
    </row>
    <row r="98" spans="29:45" hidden="1" x14ac:dyDescent="0.35">
      <c r="AC98" s="3"/>
      <c r="AD98" s="3"/>
      <c r="AS98" s="26"/>
    </row>
    <row r="99" spans="29:45" hidden="1" x14ac:dyDescent="0.35">
      <c r="AC99" s="3"/>
      <c r="AD99" s="3"/>
      <c r="AS99" s="26"/>
    </row>
    <row r="100" spans="29:45" hidden="1" x14ac:dyDescent="0.35">
      <c r="AC100" s="3"/>
      <c r="AD100" s="3"/>
      <c r="AS100" s="26"/>
    </row>
    <row r="101" spans="29:45" hidden="1" x14ac:dyDescent="0.35">
      <c r="AC101" s="3"/>
      <c r="AD101" s="3"/>
      <c r="AS101" s="26"/>
    </row>
    <row r="102" spans="29:45" hidden="1" x14ac:dyDescent="0.35">
      <c r="AC102" s="3"/>
      <c r="AD102" s="3"/>
      <c r="AS102" s="26"/>
    </row>
    <row r="103" spans="29:45" hidden="1" x14ac:dyDescent="0.35">
      <c r="AC103" s="3"/>
      <c r="AD103" s="3"/>
      <c r="AS103" s="26"/>
    </row>
    <row r="104" spans="29:45" hidden="1" x14ac:dyDescent="0.35">
      <c r="AC104" s="3"/>
      <c r="AD104" s="3"/>
      <c r="AS104" s="26"/>
    </row>
    <row r="105" spans="29:45" hidden="1" x14ac:dyDescent="0.35">
      <c r="AC105" s="3"/>
      <c r="AD105" s="3"/>
      <c r="AS105" s="26"/>
    </row>
    <row r="106" spans="29:45" hidden="1" x14ac:dyDescent="0.35">
      <c r="AC106" s="3"/>
      <c r="AD106" s="3"/>
      <c r="AS106" s="26"/>
    </row>
    <row r="107" spans="29:45" hidden="1" x14ac:dyDescent="0.35">
      <c r="AC107" s="3"/>
      <c r="AD107" s="3"/>
      <c r="AS107" s="26"/>
    </row>
    <row r="108" spans="29:45" hidden="1" x14ac:dyDescent="0.35">
      <c r="AC108" s="3"/>
      <c r="AD108" s="3"/>
      <c r="AS108" s="26"/>
    </row>
    <row r="109" spans="29:45" hidden="1" x14ac:dyDescent="0.2">
      <c r="AC109" s="3"/>
      <c r="AD109" s="3"/>
    </row>
    <row r="110" spans="29:45" hidden="1" x14ac:dyDescent="0.2">
      <c r="AC110" s="3"/>
      <c r="AD110" s="3"/>
    </row>
    <row r="111" spans="29:45" hidden="1" x14ac:dyDescent="0.2">
      <c r="AC111" s="3"/>
      <c r="AD111" s="3"/>
    </row>
    <row r="112" spans="29:45" hidden="1" x14ac:dyDescent="0.2">
      <c r="AC112" s="3"/>
      <c r="AD112" s="3"/>
    </row>
    <row r="113" spans="18:30" hidden="1" x14ac:dyDescent="0.2">
      <c r="AC113" s="3"/>
      <c r="AD113" s="3"/>
    </row>
    <row r="114" spans="18:30" hidden="1" x14ac:dyDescent="0.2">
      <c r="AC114" s="3"/>
      <c r="AD114" s="3"/>
    </row>
    <row r="115" spans="18:30" hidden="1" x14ac:dyDescent="0.2">
      <c r="AC115" s="3"/>
      <c r="AD115" s="3"/>
    </row>
    <row r="116" spans="18:30" hidden="1" x14ac:dyDescent="0.2">
      <c r="AC116" s="3"/>
      <c r="AD116" s="3"/>
    </row>
    <row r="117" spans="18:30" hidden="1" x14ac:dyDescent="0.2">
      <c r="AC117" s="3"/>
      <c r="AD117" s="3"/>
    </row>
    <row r="118" spans="18:30" hidden="1" x14ac:dyDescent="0.2">
      <c r="AC118" s="3"/>
      <c r="AD118" s="3"/>
    </row>
    <row r="119" spans="18:30" hidden="1" x14ac:dyDescent="0.2">
      <c r="AC119" s="3"/>
      <c r="AD119" s="3"/>
    </row>
    <row r="120" spans="18:30" hidden="1" x14ac:dyDescent="0.2">
      <c r="AC120" s="3"/>
      <c r="AD120" s="3"/>
    </row>
    <row r="121" spans="18:30" hidden="1" x14ac:dyDescent="0.2">
      <c r="AC121" s="3"/>
      <c r="AD121" s="3"/>
    </row>
    <row r="122" spans="18:30" hidden="1" x14ac:dyDescent="0.2">
      <c r="AC122" s="3"/>
      <c r="AD122" s="3"/>
    </row>
    <row r="123" spans="18:30" hidden="1" x14ac:dyDescent="0.35">
      <c r="R123" s="26"/>
      <c r="U123" s="26"/>
      <c r="AC123" s="3"/>
      <c r="AD123" s="3"/>
    </row>
    <row r="124" spans="18:30" hidden="1" x14ac:dyDescent="0.35">
      <c r="R124" s="26"/>
      <c r="U124" s="26"/>
      <c r="AC124" s="3"/>
      <c r="AD124" s="3"/>
    </row>
    <row r="125" spans="18:30" hidden="1" x14ac:dyDescent="0.35">
      <c r="R125" s="26"/>
      <c r="U125" s="26"/>
      <c r="AC125" s="3"/>
      <c r="AD125" s="3"/>
    </row>
    <row r="126" spans="18:30" hidden="1" x14ac:dyDescent="0.35">
      <c r="R126" s="26"/>
      <c r="U126" s="26"/>
      <c r="AC126" s="3"/>
      <c r="AD126" s="3"/>
    </row>
    <row r="127" spans="18:30" hidden="1" x14ac:dyDescent="0.35">
      <c r="R127" s="26"/>
      <c r="U127" s="26"/>
      <c r="AC127" s="3"/>
      <c r="AD127" s="3"/>
    </row>
    <row r="128" spans="18:30" hidden="1" x14ac:dyDescent="0.35">
      <c r="R128" s="26"/>
      <c r="U128" s="26"/>
      <c r="AC128" s="3"/>
      <c r="AD128" s="3"/>
    </row>
    <row r="129" spans="18:55" hidden="1" x14ac:dyDescent="0.35">
      <c r="R129" s="26"/>
      <c r="U129" s="26"/>
      <c r="AC129" s="3"/>
      <c r="AD129" s="3"/>
    </row>
    <row r="130" spans="18:55" hidden="1" x14ac:dyDescent="0.35">
      <c r="R130" s="26"/>
      <c r="U130" s="26"/>
      <c r="AC130" s="3"/>
      <c r="AD130" s="3"/>
    </row>
    <row r="131" spans="18:55" hidden="1" x14ac:dyDescent="0.35">
      <c r="R131" s="26"/>
      <c r="U131" s="26"/>
      <c r="AC131" s="3"/>
      <c r="AD131" s="3"/>
    </row>
    <row r="132" spans="18:55" hidden="1" x14ac:dyDescent="0.35">
      <c r="R132" s="26"/>
      <c r="U132" s="26"/>
      <c r="AC132" s="3"/>
      <c r="AD132" s="3"/>
    </row>
    <row r="133" spans="18:55" hidden="1" x14ac:dyDescent="0.35">
      <c r="R133" s="26"/>
      <c r="U133" s="26"/>
      <c r="AC133" s="3"/>
      <c r="AD133" s="3"/>
    </row>
    <row r="134" spans="18:55" hidden="1" x14ac:dyDescent="0.35">
      <c r="R134" s="26"/>
      <c r="U134" s="26"/>
      <c r="AC134" s="3"/>
      <c r="AD134" s="3"/>
    </row>
    <row r="135" spans="18:55" hidden="1" x14ac:dyDescent="0.35">
      <c r="R135" s="26"/>
      <c r="U135" s="26"/>
      <c r="AC135" s="3"/>
      <c r="AD135" s="3"/>
      <c r="BA135" s="10"/>
      <c r="BB135" s="10"/>
      <c r="BC135" s="10"/>
    </row>
    <row r="136" spans="18:55" hidden="1" x14ac:dyDescent="0.35">
      <c r="R136" s="26"/>
      <c r="U136" s="26"/>
      <c r="AC136" s="3"/>
      <c r="AD136" s="3"/>
      <c r="BA136" s="79"/>
      <c r="BB136" s="79"/>
      <c r="BC136" s="85"/>
    </row>
    <row r="137" spans="18:55" hidden="1" x14ac:dyDescent="0.35">
      <c r="R137" s="26"/>
      <c r="U137" s="26"/>
      <c r="AC137" s="3"/>
      <c r="AD137" s="3"/>
      <c r="BA137" s="10"/>
      <c r="BB137" s="85"/>
      <c r="BC137" s="85"/>
    </row>
    <row r="138" spans="18:55" hidden="1" x14ac:dyDescent="0.35">
      <c r="R138" s="26"/>
      <c r="U138" s="26"/>
      <c r="AC138" s="3"/>
      <c r="AD138" s="3"/>
      <c r="BA138" s="10"/>
      <c r="BB138" s="85"/>
      <c r="BC138" s="85"/>
    </row>
    <row r="139" spans="18:55" hidden="1" x14ac:dyDescent="0.35">
      <c r="R139" s="26"/>
      <c r="U139" s="26"/>
      <c r="AC139" s="3"/>
      <c r="AD139" s="3"/>
      <c r="BA139" s="10"/>
      <c r="BB139" s="85"/>
      <c r="BC139" s="85"/>
    </row>
    <row r="140" spans="18:55" hidden="1" x14ac:dyDescent="0.35">
      <c r="R140" s="26"/>
      <c r="U140" s="26"/>
      <c r="AC140" s="3"/>
      <c r="AD140" s="3"/>
      <c r="BA140" s="10"/>
      <c r="BB140" s="85"/>
      <c r="BC140" s="85"/>
    </row>
    <row r="141" spans="18:55" hidden="1" x14ac:dyDescent="0.35">
      <c r="R141" s="26"/>
      <c r="U141" s="26"/>
      <c r="AC141" s="3"/>
      <c r="AD141" s="3"/>
      <c r="BA141" s="10"/>
      <c r="BB141" s="85"/>
      <c r="BC141" s="85"/>
    </row>
    <row r="142" spans="18:55" hidden="1" x14ac:dyDescent="0.35">
      <c r="R142" s="26"/>
      <c r="U142" s="26"/>
      <c r="AC142" s="3"/>
      <c r="AD142" s="3"/>
      <c r="BA142" s="10"/>
      <c r="BB142" s="85"/>
      <c r="BC142" s="85"/>
    </row>
    <row r="143" spans="18:55" hidden="1" x14ac:dyDescent="0.35">
      <c r="R143" s="26"/>
      <c r="U143" s="26"/>
      <c r="AC143" s="3"/>
      <c r="AD143" s="3"/>
      <c r="BA143" s="10"/>
      <c r="BB143" s="85"/>
      <c r="BC143" s="85"/>
    </row>
    <row r="144" spans="18:55" hidden="1" x14ac:dyDescent="0.35">
      <c r="R144" s="26"/>
      <c r="U144" s="26"/>
      <c r="AC144" s="3"/>
      <c r="AD144" s="3"/>
      <c r="BA144" s="10"/>
      <c r="BB144" s="85"/>
      <c r="BC144" s="85"/>
    </row>
    <row r="145" spans="18:55" hidden="1" x14ac:dyDescent="0.35">
      <c r="R145" s="26"/>
      <c r="U145" s="26"/>
      <c r="AC145" s="3"/>
      <c r="AD145" s="3"/>
      <c r="BA145" s="10"/>
      <c r="BB145" s="10"/>
      <c r="BC145" s="10"/>
    </row>
    <row r="146" spans="18:55" hidden="1" x14ac:dyDescent="0.35">
      <c r="R146" s="26"/>
      <c r="U146" s="26"/>
      <c r="AC146" s="3"/>
      <c r="AD146" s="3"/>
      <c r="BA146" s="10"/>
      <c r="BB146" s="10"/>
      <c r="BC146" s="10"/>
    </row>
    <row r="147" spans="18:55" hidden="1" x14ac:dyDescent="0.35">
      <c r="U147" s="26"/>
      <c r="AC147" s="3"/>
      <c r="AD147" s="3"/>
      <c r="BA147" s="10"/>
      <c r="BB147" s="10"/>
      <c r="BC147" s="10"/>
    </row>
    <row r="148" spans="18:55" hidden="1" x14ac:dyDescent="0.35">
      <c r="U148" s="26"/>
      <c r="AC148" s="3"/>
      <c r="AD148" s="3"/>
      <c r="BA148" s="10"/>
      <c r="BB148" s="10"/>
      <c r="BC148" s="10"/>
    </row>
    <row r="149" spans="18:55" hidden="1" x14ac:dyDescent="0.35">
      <c r="U149" s="26"/>
      <c r="AC149" s="3"/>
      <c r="AD149" s="3"/>
      <c r="BA149" s="10"/>
      <c r="BB149" s="10"/>
      <c r="BC149" s="10"/>
    </row>
    <row r="150" spans="18:55" hidden="1" x14ac:dyDescent="0.35">
      <c r="U150" s="26"/>
      <c r="AC150" s="3"/>
      <c r="AD150" s="3"/>
      <c r="BA150" s="10"/>
      <c r="BB150" s="10"/>
      <c r="BC150" s="10"/>
    </row>
    <row r="151" spans="18:55" hidden="1" x14ac:dyDescent="0.35">
      <c r="U151" s="26"/>
      <c r="AC151" s="3"/>
      <c r="AD151" s="3"/>
      <c r="BA151" s="10"/>
      <c r="BB151" s="10"/>
      <c r="BC151" s="10"/>
    </row>
    <row r="152" spans="18:55" hidden="1" x14ac:dyDescent="0.35">
      <c r="U152" s="26"/>
      <c r="AC152" s="3"/>
      <c r="AD152" s="3"/>
      <c r="BA152" s="10"/>
      <c r="BB152" s="10"/>
      <c r="BC152" s="10"/>
    </row>
    <row r="153" spans="18:55" hidden="1" x14ac:dyDescent="0.35">
      <c r="U153" s="26"/>
      <c r="AC153" s="3"/>
      <c r="AD153" s="3"/>
    </row>
    <row r="154" spans="18:55" hidden="1" x14ac:dyDescent="0.35">
      <c r="U154" s="26"/>
      <c r="AC154" s="3"/>
      <c r="AD154" s="3"/>
    </row>
    <row r="155" spans="18:55" hidden="1" x14ac:dyDescent="0.35">
      <c r="U155" s="26"/>
      <c r="AC155" s="3"/>
      <c r="AD155" s="3"/>
    </row>
    <row r="156" spans="18:55" hidden="1" x14ac:dyDescent="0.35">
      <c r="U156" s="26"/>
      <c r="AC156" s="3"/>
      <c r="AD156" s="3"/>
    </row>
    <row r="157" spans="18:55" hidden="1" x14ac:dyDescent="0.35">
      <c r="U157" s="33"/>
      <c r="AC157" s="3"/>
      <c r="AD157" s="3"/>
    </row>
    <row r="158" spans="18:55" hidden="1" x14ac:dyDescent="0.35">
      <c r="U158" s="33"/>
    </row>
    <row r="159" spans="18:55" hidden="1" x14ac:dyDescent="0.35">
      <c r="U159" s="33"/>
    </row>
    <row r="160" spans="18:55" hidden="1" x14ac:dyDescent="0.35">
      <c r="U160" s="33"/>
    </row>
    <row r="161" spans="21:21" hidden="1" x14ac:dyDescent="0.35">
      <c r="U161" s="33"/>
    </row>
    <row r="162" spans="21:21" hidden="1" x14ac:dyDescent="0.35">
      <c r="U162" s="33"/>
    </row>
    <row r="163" spans="21:21" hidden="1" x14ac:dyDescent="0.35">
      <c r="U163" s="33"/>
    </row>
    <row r="164" spans="21:21" hidden="1" x14ac:dyDescent="0.35">
      <c r="U164" s="33"/>
    </row>
    <row r="165" spans="21:21" hidden="1" x14ac:dyDescent="0.35">
      <c r="U165" s="33"/>
    </row>
    <row r="166" spans="21:21" hidden="1" x14ac:dyDescent="0.35">
      <c r="U166" s="33"/>
    </row>
    <row r="167" spans="21:21" hidden="1" x14ac:dyDescent="0.35">
      <c r="U167" s="33"/>
    </row>
    <row r="168" spans="21:21" hidden="1" x14ac:dyDescent="0.35">
      <c r="U168" s="33"/>
    </row>
    <row r="169" spans="21:21" hidden="1" x14ac:dyDescent="0.35">
      <c r="U169" s="33"/>
    </row>
    <row r="170" spans="21:21" hidden="1" x14ac:dyDescent="0.35">
      <c r="U170" s="33"/>
    </row>
    <row r="171" spans="21:21" hidden="1" x14ac:dyDescent="0.35">
      <c r="U171" s="33"/>
    </row>
    <row r="172" spans="21:21" hidden="1" x14ac:dyDescent="0.35">
      <c r="U172" s="33"/>
    </row>
    <row r="173" spans="21:21" hidden="1" x14ac:dyDescent="0.35">
      <c r="U173" s="33"/>
    </row>
    <row r="174" spans="21:21" hidden="1" x14ac:dyDescent="0.35">
      <c r="U174" s="33"/>
    </row>
    <row r="175" spans="21:21" hidden="1" x14ac:dyDescent="0.35">
      <c r="U175" s="33"/>
    </row>
    <row r="176" spans="21:21" hidden="1" x14ac:dyDescent="0.35">
      <c r="U176" s="33"/>
    </row>
    <row r="177" spans="21:21" hidden="1" x14ac:dyDescent="0.35">
      <c r="U177" s="33"/>
    </row>
    <row r="178" spans="21:21" hidden="1" x14ac:dyDescent="0.35">
      <c r="U178" s="33"/>
    </row>
    <row r="179" spans="21:21" hidden="1" x14ac:dyDescent="0.35">
      <c r="U179" s="33"/>
    </row>
    <row r="180" spans="21:21" hidden="1" x14ac:dyDescent="0.35">
      <c r="U180" s="33"/>
    </row>
    <row r="181" spans="21:21" hidden="1" x14ac:dyDescent="0.35">
      <c r="U181" s="33"/>
    </row>
    <row r="182" spans="21:21" hidden="1" x14ac:dyDescent="0.35">
      <c r="U182" s="33"/>
    </row>
    <row r="183" spans="21:21" hidden="1" x14ac:dyDescent="0.35">
      <c r="U183" s="33"/>
    </row>
    <row r="184" spans="21:21" hidden="1" x14ac:dyDescent="0.35">
      <c r="U184" s="33"/>
    </row>
    <row r="185" spans="21:21" hidden="1" x14ac:dyDescent="0.35">
      <c r="U185" s="33"/>
    </row>
    <row r="186" spans="21:21" hidden="1" x14ac:dyDescent="0.35">
      <c r="U186" s="33"/>
    </row>
  </sheetData>
  <mergeCells count="85">
    <mergeCell ref="E1:F1"/>
    <mergeCell ref="G43:K45"/>
    <mergeCell ref="M6:M9"/>
    <mergeCell ref="H17:H18"/>
    <mergeCell ref="K2:M2"/>
    <mergeCell ref="K5:M5"/>
    <mergeCell ref="G11:H11"/>
    <mergeCell ref="I11:J11"/>
    <mergeCell ref="H13:H14"/>
    <mergeCell ref="J13:J14"/>
    <mergeCell ref="B37:E37"/>
    <mergeCell ref="B34:E34"/>
    <mergeCell ref="B35:E35"/>
    <mergeCell ref="B40:E40"/>
    <mergeCell ref="B11:B12"/>
    <mergeCell ref="C11:D11"/>
    <mergeCell ref="E11:F11"/>
    <mergeCell ref="G15:H15"/>
    <mergeCell ref="D13:D14"/>
    <mergeCell ref="F13:F14"/>
    <mergeCell ref="M3:M4"/>
    <mergeCell ref="M12:M14"/>
    <mergeCell ref="C7:D7"/>
    <mergeCell ref="C8:D8"/>
    <mergeCell ref="D17:D18"/>
    <mergeCell ref="F17:F18"/>
    <mergeCell ref="J17:J18"/>
    <mergeCell ref="C15:D15"/>
    <mergeCell ref="E15:F15"/>
    <mergeCell ref="I15:J15"/>
    <mergeCell ref="B43:E43"/>
    <mergeCell ref="B44:E44"/>
    <mergeCell ref="B45:E45"/>
    <mergeCell ref="B38:E38"/>
    <mergeCell ref="K11:M11"/>
    <mergeCell ref="B41:E41"/>
    <mergeCell ref="B42:E42"/>
    <mergeCell ref="B29:E29"/>
    <mergeCell ref="B30:E30"/>
    <mergeCell ref="B15:B16"/>
    <mergeCell ref="B26:E26"/>
    <mergeCell ref="B27:E27"/>
    <mergeCell ref="B36:E36"/>
    <mergeCell ref="B31:E31"/>
    <mergeCell ref="B32:E32"/>
    <mergeCell ref="B33:E33"/>
    <mergeCell ref="B49:E49"/>
    <mergeCell ref="B50:E50"/>
    <mergeCell ref="B51:E51"/>
    <mergeCell ref="B46:E46"/>
    <mergeCell ref="B47:E47"/>
    <mergeCell ref="B48:E48"/>
    <mergeCell ref="B56:E56"/>
    <mergeCell ref="F56:I56"/>
    <mergeCell ref="B57:E57"/>
    <mergeCell ref="F57:I57"/>
    <mergeCell ref="B52:E52"/>
    <mergeCell ref="B53:E53"/>
    <mergeCell ref="B55:E55"/>
    <mergeCell ref="F55:I55"/>
    <mergeCell ref="G53:K53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52:K52"/>
    <mergeCell ref="G46:K46"/>
    <mergeCell ref="G47:K47"/>
    <mergeCell ref="G38:K38"/>
    <mergeCell ref="G39:K39"/>
    <mergeCell ref="G40:K40"/>
    <mergeCell ref="G41:K41"/>
    <mergeCell ref="G42:K42"/>
    <mergeCell ref="G48:K48"/>
    <mergeCell ref="G49:K49"/>
    <mergeCell ref="G50:K50"/>
    <mergeCell ref="G51:K51"/>
    <mergeCell ref="G37:K37"/>
  </mergeCells>
  <phoneticPr fontId="2" type="noConversion"/>
  <conditionalFormatting sqref="K2:M4">
    <cfRule type="expression" dxfId="10" priority="19">
      <formula>$I$5=$K$2</formula>
    </cfRule>
  </conditionalFormatting>
  <conditionalFormatting sqref="L3:L4">
    <cfRule type="expression" dxfId="9" priority="20">
      <formula>$I$5=$K$2</formula>
    </cfRule>
  </conditionalFormatting>
  <conditionalFormatting sqref="K5:M9">
    <cfRule type="expression" dxfId="8" priority="21">
      <formula>$I$5=$K$5</formula>
    </cfRule>
  </conditionalFormatting>
  <conditionalFormatting sqref="L6:L9">
    <cfRule type="expression" dxfId="7" priority="22">
      <formula>$I$5=$K$5</formula>
    </cfRule>
  </conditionalFormatting>
  <conditionalFormatting sqref="K11:M14">
    <cfRule type="expression" dxfId="6" priority="23">
      <formula>$I$5=$K$11</formula>
    </cfRule>
  </conditionalFormatting>
  <conditionalFormatting sqref="L12:L14">
    <cfRule type="expression" dxfId="5" priority="24">
      <formula>$I$5=$K$11</formula>
    </cfRule>
  </conditionalFormatting>
  <dataValidations count="7">
    <dataValidation type="list" allowBlank="1" showInputMessage="1" showErrorMessage="1" sqref="C2" xr:uid="{BAF5FC69-90B0-43B9-A343-B35787DEAB6F}">
      <formula1>INDIRECT($B$2)</formula1>
    </dataValidation>
    <dataValidation type="list" allowBlank="1" showInputMessage="1" showErrorMessage="1" sqref="I5" xr:uid="{57C0CE70-95D7-4606-90AF-EB8A0889D0F4}">
      <formula1>INDIRECT("Каталог[Название]")</formula1>
    </dataValidation>
    <dataValidation type="list" allowBlank="1" showInputMessage="1" showErrorMessage="1" sqref="E21" xr:uid="{6DADA593-B6F2-4575-AF10-9E4C26AFCC89}">
      <formula1>"Встык, Ёлочка"</formula1>
    </dataValidation>
    <dataValidation type="list" allowBlank="1" showInputMessage="1" showErrorMessage="1" sqref="C7:D7" xr:uid="{0A6C1228-1447-4B58-A6E5-D3330D091532}">
      <formula1>"0,50,70,100,130,150,180,200,250"</formula1>
    </dataValidation>
    <dataValidation type="list" allowBlank="1" showInputMessage="1" showErrorMessage="1" sqref="C8:D8" xr:uid="{53F7760D-4740-4B04-BC52-9871C16D436C}">
      <formula1>"бетон, полнотелый кирпич, газобетон от D500, керамзитобетон, дерево, пустотелый кирпич"</formula1>
    </dataValidation>
    <dataValidation type="list" allowBlank="1" showInputMessage="1" showErrorMessage="1" sqref="B2" xr:uid="{A6A4C50B-D580-4270-9D3E-D53A040EE917}">
      <formula1>$AC$1:$AH$1</formula1>
    </dataValidation>
    <dataValidation type="list" allowBlank="1" showInputMessage="1" showErrorMessage="1" sqref="C3" xr:uid="{13867E64-6F76-4286-A0F6-E533DD9CF7C9}">
      <formula1>$E$2:$E$3</formula1>
    </dataValidation>
  </dataValidations>
  <hyperlinks>
    <hyperlink ref="B36:E36" r:id="rId1" display="https://www.grandline.ru/katalog/fasad/sayding/fibrocementnyj-sajding/dobornye-elementy-decover/soedinitelnyj-profil-decover/" xr:uid="{AC2DADAF-0D9B-4E67-9A0C-54FD93D98C69}"/>
    <hyperlink ref="B29:E29" r:id="rId2" display="https://www.grandline.ru/katalog/fasad/sayding/fibrocementnyj-sajding/dobornye-elementy-decover/startovyj-profil-decover/" xr:uid="{EE736F50-9B36-4508-9242-09BCF2A5BECE}"/>
    <hyperlink ref="B30:E30" r:id="rId3" display="https://www.grandline.ru/katalog/fasad/sayding/fibrocementnyj-sajding/komplektuusie-cedral/profil-perforirovannyj-universalnyj/" xr:uid="{0C256D8B-846D-47D4-9097-8FBF17E0381C}"/>
    <hyperlink ref="B31:E31" r:id="rId4" display="https://www.grandline.ru/katalog/fasad/sayding/fibrocementnyj-sajding/dobornye-elementy-decover/ugol-vnesnij-simmetricnyj-decover/" xr:uid="{CF082C63-912F-4AF1-BD67-1FD6582641F0}"/>
    <hyperlink ref="B32:E32" r:id="rId5" display="https://www.grandline.ru/katalog/fasad/sayding/fibrocementnyj-sajding/dobornye-elementy-decover/ugol-vnesnij-asimmetricnyj-decover/" xr:uid="{CB1F6C2C-0700-4F93-9620-3020B3E7DF04}"/>
    <hyperlink ref="B33:E33" r:id="rId6" display="https://www.grandline.ru/katalog/fasad/sayding/fibrocementnyj-sajding/dobornye-elementy-decover/ugol-vnutrennij-decover/" xr:uid="{FE43DB74-674C-4083-BF3E-12615E7A522A}"/>
    <hyperlink ref="B34:E34" r:id="rId7" display="https://www.grandline.ru/katalog/fasad/sayding/fibrocementnyj-sajding/dobornye-elementy-decover/finisnyj-profil-decover/" xr:uid="{A62EEBCA-ECE8-4FB1-9D2B-F34FDD2504B3}"/>
    <hyperlink ref="B35:E35" r:id="rId8" display="https://www.grandline.ru/lenta-epdm-uplotnitel-ezu-4002-60-mm-30-m-380978.html" xr:uid="{D44A7067-3D19-4BE5-9574-A7C5DF7B6FCA}"/>
    <hyperlink ref="B37:E37" r:id="rId9" display="https://www.grandline.ru/katalog/fasad/sayding/fibrocementnyj-sajding/dobornye-elementy-decover/planka-priemnaa-okonnaa-fibrosajding/" xr:uid="{9519E0D9-1F04-4459-AC22-B877BC708B98}"/>
    <hyperlink ref="B38:E38" r:id="rId10" display="Корректор для ремонта царапин" xr:uid="{F95B43BE-9281-47DD-85CE-D4409A8D21BC}"/>
  </hyperlinks>
  <pageMargins left="0.23622047244094491" right="0.23622047244094491" top="0.74803149606299213" bottom="0.74803149606299213" header="0.31496062992125984" footer="0.31496062992125984"/>
  <pageSetup paperSize="9" scale="41" orientation="portrait" r:id="rId11"/>
  <headerFooter alignWithMargins="0"/>
  <drawing r:id="rId12"/>
  <legacyDrawing r:id="rId1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AA0604-2AFD-4301-817E-230DF95E0D46}">
          <x14:formula1>
            <xm:f>'1'!$M$3:$M$8</xm:f>
          </x14:formula1>
          <xm:sqref>I2:I3</xm:sqref>
        </x14:dataValidation>
        <x14:dataValidation type="list" allowBlank="1" showInputMessage="1" showErrorMessage="1" xr:uid="{21F71961-041B-43DC-82DD-BDC2F6EAC754}">
          <x14:formula1>
            <xm:f>'1'!$O$2:$O$10</xm:f>
          </x14:formula1>
          <xm:sqref>F2</xm:sqref>
        </x14:dataValidation>
        <x14:dataValidation type="list" allowBlank="1" showInputMessage="1" showErrorMessage="1" xr:uid="{7E92CA81-E490-448A-AA9E-2CE387582280}">
          <x14:formula1>
            <xm:f>'1'!$P$2:$P$3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2"/>
  <sheetViews>
    <sheetView topLeftCell="A22" zoomScaleNormal="100" workbookViewId="0">
      <selection activeCell="I49" sqref="I49"/>
    </sheetView>
  </sheetViews>
  <sheetFormatPr defaultRowHeight="12.75" x14ac:dyDescent="0.2"/>
  <cols>
    <col min="2" max="2" width="27.85546875" customWidth="1"/>
    <col min="3" max="3" width="13.7109375" bestFit="1" customWidth="1"/>
    <col min="4" max="4" width="17.5703125" bestFit="1" customWidth="1"/>
    <col min="5" max="5" width="20.85546875" bestFit="1" customWidth="1"/>
    <col min="6" max="6" width="21.85546875" bestFit="1" customWidth="1"/>
    <col min="15" max="15" width="22.85546875" bestFit="1" customWidth="1"/>
    <col min="16" max="16" width="23.42578125" customWidth="1"/>
  </cols>
  <sheetData>
    <row r="1" spans="2:16" x14ac:dyDescent="0.2">
      <c r="B1" s="4" t="s">
        <v>44</v>
      </c>
      <c r="C1" s="4" t="s">
        <v>105</v>
      </c>
      <c r="D1" s="4" t="s">
        <v>45</v>
      </c>
      <c r="E1" s="4" t="s">
        <v>50</v>
      </c>
      <c r="F1" s="4" t="s">
        <v>51</v>
      </c>
      <c r="H1" s="4" t="s">
        <v>102</v>
      </c>
      <c r="I1" s="4" t="s">
        <v>103</v>
      </c>
      <c r="O1" s="4" t="s">
        <v>306</v>
      </c>
      <c r="P1" s="4" t="s">
        <v>160</v>
      </c>
    </row>
    <row r="2" spans="2:16" x14ac:dyDescent="0.2">
      <c r="B2" t="s">
        <v>48</v>
      </c>
      <c r="C2" t="s">
        <v>46</v>
      </c>
      <c r="D2" t="s">
        <v>46</v>
      </c>
      <c r="E2" t="s">
        <v>25</v>
      </c>
      <c r="F2" t="s">
        <v>25</v>
      </c>
      <c r="H2" t="s">
        <v>96</v>
      </c>
      <c r="I2" t="s">
        <v>87</v>
      </c>
      <c r="M2" t="s">
        <v>117</v>
      </c>
      <c r="O2" t="s">
        <v>309</v>
      </c>
      <c r="P2" t="s">
        <v>312</v>
      </c>
    </row>
    <row r="3" spans="2:16" x14ac:dyDescent="0.2">
      <c r="B3" t="s">
        <v>48</v>
      </c>
      <c r="C3" t="s">
        <v>47</v>
      </c>
      <c r="D3" t="s">
        <v>47</v>
      </c>
      <c r="E3" t="s">
        <v>37</v>
      </c>
      <c r="F3" t="s">
        <v>37</v>
      </c>
      <c r="H3" t="s">
        <v>28</v>
      </c>
      <c r="I3" t="s">
        <v>91</v>
      </c>
      <c r="M3" t="s">
        <v>34</v>
      </c>
      <c r="O3" t="s">
        <v>308</v>
      </c>
      <c r="P3" t="s">
        <v>314</v>
      </c>
    </row>
    <row r="4" spans="2:16" x14ac:dyDescent="0.2">
      <c r="B4" t="s">
        <v>49</v>
      </c>
      <c r="C4" t="s">
        <v>46</v>
      </c>
      <c r="D4" t="s">
        <v>23</v>
      </c>
      <c r="E4" t="s">
        <v>25</v>
      </c>
      <c r="F4" t="s">
        <v>25</v>
      </c>
      <c r="H4" t="s">
        <v>97</v>
      </c>
      <c r="I4" t="s">
        <v>37</v>
      </c>
      <c r="M4" t="s">
        <v>35</v>
      </c>
      <c r="O4" t="s">
        <v>307</v>
      </c>
    </row>
    <row r="5" spans="2:16" x14ac:dyDescent="0.2">
      <c r="B5" t="s">
        <v>49</v>
      </c>
      <c r="C5" t="s">
        <v>46</v>
      </c>
      <c r="D5" t="s">
        <v>24</v>
      </c>
      <c r="E5" t="s">
        <v>25</v>
      </c>
      <c r="F5" t="s">
        <v>25</v>
      </c>
      <c r="H5" t="s">
        <v>98</v>
      </c>
      <c r="I5" t="s">
        <v>34</v>
      </c>
      <c r="M5" t="s">
        <v>92</v>
      </c>
      <c r="O5" t="s">
        <v>310</v>
      </c>
    </row>
    <row r="6" spans="2:16" x14ac:dyDescent="0.2">
      <c r="B6" t="s">
        <v>49</v>
      </c>
      <c r="C6" t="s">
        <v>46</v>
      </c>
      <c r="D6" t="s">
        <v>25</v>
      </c>
      <c r="E6" t="s">
        <v>25</v>
      </c>
      <c r="F6" t="s">
        <v>25</v>
      </c>
      <c r="H6" t="s">
        <v>87</v>
      </c>
      <c r="I6" t="s">
        <v>35</v>
      </c>
      <c r="M6" t="s">
        <v>39</v>
      </c>
      <c r="O6" t="s">
        <v>311</v>
      </c>
    </row>
    <row r="7" spans="2:16" x14ac:dyDescent="0.2">
      <c r="B7" t="s">
        <v>49</v>
      </c>
      <c r="C7" t="s">
        <v>106</v>
      </c>
      <c r="D7" t="s">
        <v>27</v>
      </c>
      <c r="E7" t="s">
        <v>96</v>
      </c>
      <c r="F7" t="s">
        <v>110</v>
      </c>
      <c r="H7" t="s">
        <v>88</v>
      </c>
      <c r="I7" t="s">
        <v>92</v>
      </c>
      <c r="M7" t="s">
        <v>95</v>
      </c>
      <c r="O7" t="s">
        <v>316</v>
      </c>
    </row>
    <row r="8" spans="2:16" x14ac:dyDescent="0.2">
      <c r="B8" t="s">
        <v>49</v>
      </c>
      <c r="C8" t="s">
        <v>106</v>
      </c>
      <c r="D8" t="s">
        <v>28</v>
      </c>
      <c r="E8" t="s">
        <v>28</v>
      </c>
      <c r="F8" t="s">
        <v>110</v>
      </c>
      <c r="H8" t="s">
        <v>89</v>
      </c>
      <c r="I8" t="s">
        <v>39</v>
      </c>
      <c r="M8" t="s">
        <v>93</v>
      </c>
      <c r="O8" t="s">
        <v>317</v>
      </c>
    </row>
    <row r="9" spans="2:16" x14ac:dyDescent="0.2">
      <c r="B9" t="s">
        <v>49</v>
      </c>
      <c r="C9" t="s">
        <v>106</v>
      </c>
      <c r="D9" t="s">
        <v>29</v>
      </c>
      <c r="E9" t="s">
        <v>110</v>
      </c>
      <c r="F9" t="s">
        <v>110</v>
      </c>
      <c r="H9" t="s">
        <v>99</v>
      </c>
      <c r="I9" t="s">
        <v>25</v>
      </c>
      <c r="O9" t="s">
        <v>315</v>
      </c>
    </row>
    <row r="10" spans="2:16" x14ac:dyDescent="0.2">
      <c r="B10" t="s">
        <v>49</v>
      </c>
      <c r="C10" t="s">
        <v>107</v>
      </c>
      <c r="D10" t="s">
        <v>30</v>
      </c>
      <c r="E10" t="s">
        <v>110</v>
      </c>
      <c r="F10" t="s">
        <v>110</v>
      </c>
      <c r="H10" t="s">
        <v>90</v>
      </c>
      <c r="I10" t="s">
        <v>93</v>
      </c>
      <c r="O10" t="s">
        <v>313</v>
      </c>
    </row>
    <row r="11" spans="2:16" x14ac:dyDescent="0.2">
      <c r="B11" t="s">
        <v>49</v>
      </c>
      <c r="C11" t="s">
        <v>107</v>
      </c>
      <c r="D11" t="s">
        <v>31</v>
      </c>
      <c r="E11" t="s">
        <v>110</v>
      </c>
      <c r="F11" t="s">
        <v>110</v>
      </c>
      <c r="H11" t="s">
        <v>100</v>
      </c>
      <c r="I11" t="s">
        <v>95</v>
      </c>
    </row>
    <row r="12" spans="2:16" x14ac:dyDescent="0.2">
      <c r="B12" t="s">
        <v>49</v>
      </c>
      <c r="C12" t="s">
        <v>108</v>
      </c>
      <c r="D12" t="s">
        <v>32</v>
      </c>
      <c r="E12" t="s">
        <v>110</v>
      </c>
      <c r="F12" t="s">
        <v>110</v>
      </c>
      <c r="H12" t="s">
        <v>91</v>
      </c>
      <c r="I12" t="s">
        <v>104</v>
      </c>
    </row>
    <row r="13" spans="2:16" x14ac:dyDescent="0.2">
      <c r="B13" t="s">
        <v>49</v>
      </c>
      <c r="C13" t="s">
        <v>108</v>
      </c>
      <c r="D13" t="s">
        <v>33</v>
      </c>
      <c r="E13" t="s">
        <v>91</v>
      </c>
      <c r="F13" t="s">
        <v>91</v>
      </c>
      <c r="H13" t="s">
        <v>37</v>
      </c>
    </row>
    <row r="14" spans="2:16" x14ac:dyDescent="0.2">
      <c r="B14" t="s">
        <v>49</v>
      </c>
      <c r="C14" t="s">
        <v>47</v>
      </c>
      <c r="D14" t="s">
        <v>34</v>
      </c>
      <c r="E14" t="s">
        <v>34</v>
      </c>
      <c r="F14" t="s">
        <v>34</v>
      </c>
      <c r="H14" t="s">
        <v>101</v>
      </c>
    </row>
    <row r="15" spans="2:16" x14ac:dyDescent="0.2">
      <c r="B15" t="s">
        <v>49</v>
      </c>
      <c r="C15" t="s">
        <v>47</v>
      </c>
      <c r="D15" t="s">
        <v>35</v>
      </c>
      <c r="E15" t="s">
        <v>35</v>
      </c>
      <c r="F15" t="s">
        <v>35</v>
      </c>
      <c r="H15" t="s">
        <v>34</v>
      </c>
    </row>
    <row r="16" spans="2:16" x14ac:dyDescent="0.2">
      <c r="B16" t="s">
        <v>49</v>
      </c>
      <c r="C16" t="s">
        <v>47</v>
      </c>
      <c r="D16" t="s">
        <v>36</v>
      </c>
      <c r="E16" t="s">
        <v>94</v>
      </c>
      <c r="F16" t="s">
        <v>110</v>
      </c>
      <c r="H16" t="s">
        <v>35</v>
      </c>
    </row>
    <row r="17" spans="2:8" x14ac:dyDescent="0.2">
      <c r="B17" t="s">
        <v>49</v>
      </c>
      <c r="C17" t="s">
        <v>47</v>
      </c>
      <c r="D17" t="s">
        <v>37</v>
      </c>
      <c r="E17" t="s">
        <v>37</v>
      </c>
      <c r="F17" t="s">
        <v>37</v>
      </c>
      <c r="H17" t="s">
        <v>92</v>
      </c>
    </row>
    <row r="18" spans="2:8" x14ac:dyDescent="0.2">
      <c r="B18" t="s">
        <v>49</v>
      </c>
      <c r="C18" t="s">
        <v>86</v>
      </c>
      <c r="D18" t="s">
        <v>38</v>
      </c>
      <c r="E18" t="s">
        <v>92</v>
      </c>
      <c r="F18" t="s">
        <v>92</v>
      </c>
      <c r="H18" t="s">
        <v>39</v>
      </c>
    </row>
    <row r="19" spans="2:8" x14ac:dyDescent="0.2">
      <c r="B19" t="s">
        <v>49</v>
      </c>
      <c r="C19" t="s">
        <v>86</v>
      </c>
      <c r="D19" t="s">
        <v>39</v>
      </c>
      <c r="E19" t="s">
        <v>39</v>
      </c>
      <c r="F19" t="s">
        <v>39</v>
      </c>
      <c r="H19" t="s">
        <v>25</v>
      </c>
    </row>
    <row r="20" spans="2:8" x14ac:dyDescent="0.2">
      <c r="B20" t="s">
        <v>49</v>
      </c>
      <c r="C20" t="s">
        <v>86</v>
      </c>
      <c r="D20" t="s">
        <v>40</v>
      </c>
      <c r="E20" t="s">
        <v>95</v>
      </c>
      <c r="F20" t="s">
        <v>95</v>
      </c>
      <c r="H20" t="s">
        <v>93</v>
      </c>
    </row>
    <row r="21" spans="2:8" x14ac:dyDescent="0.2">
      <c r="B21" t="s">
        <v>49</v>
      </c>
      <c r="C21" t="s">
        <v>86</v>
      </c>
      <c r="D21" t="s">
        <v>41</v>
      </c>
      <c r="E21" t="s">
        <v>92</v>
      </c>
      <c r="F21" t="s">
        <v>92</v>
      </c>
      <c r="H21" t="s">
        <v>94</v>
      </c>
    </row>
    <row r="22" spans="2:8" x14ac:dyDescent="0.2">
      <c r="B22" t="s">
        <v>49</v>
      </c>
      <c r="C22" t="s">
        <v>86</v>
      </c>
      <c r="D22" t="s">
        <v>42</v>
      </c>
      <c r="E22" t="s">
        <v>39</v>
      </c>
      <c r="F22" t="s">
        <v>39</v>
      </c>
      <c r="H22" t="s">
        <v>95</v>
      </c>
    </row>
    <row r="23" spans="2:8" x14ac:dyDescent="0.2">
      <c r="B23" t="s">
        <v>49</v>
      </c>
      <c r="C23" t="s">
        <v>26</v>
      </c>
      <c r="D23" t="s">
        <v>26</v>
      </c>
      <c r="E23" t="s">
        <v>110</v>
      </c>
      <c r="F23" t="s">
        <v>110</v>
      </c>
    </row>
    <row r="24" spans="2:8" x14ac:dyDescent="0.2">
      <c r="B24" t="s">
        <v>49</v>
      </c>
      <c r="C24" t="s">
        <v>109</v>
      </c>
      <c r="D24" t="s">
        <v>43</v>
      </c>
      <c r="E24" t="s">
        <v>93</v>
      </c>
      <c r="F24" t="s">
        <v>93</v>
      </c>
    </row>
    <row r="25" spans="2:8" x14ac:dyDescent="0.2">
      <c r="B25" t="s">
        <v>52</v>
      </c>
      <c r="C25" t="s">
        <v>46</v>
      </c>
      <c r="D25" t="s">
        <v>4</v>
      </c>
      <c r="E25" t="s">
        <v>94</v>
      </c>
      <c r="F25" t="s">
        <v>110</v>
      </c>
    </row>
    <row r="26" spans="2:8" x14ac:dyDescent="0.2">
      <c r="B26" t="s">
        <v>52</v>
      </c>
      <c r="C26" t="s">
        <v>46</v>
      </c>
      <c r="D26" t="s">
        <v>1</v>
      </c>
      <c r="E26" t="s">
        <v>25</v>
      </c>
      <c r="F26" t="s">
        <v>25</v>
      </c>
    </row>
    <row r="27" spans="2:8" x14ac:dyDescent="0.2">
      <c r="B27" t="s">
        <v>52</v>
      </c>
      <c r="C27" t="s">
        <v>106</v>
      </c>
      <c r="D27" t="s">
        <v>12</v>
      </c>
      <c r="E27" t="s">
        <v>96</v>
      </c>
      <c r="F27" t="s">
        <v>110</v>
      </c>
    </row>
    <row r="28" spans="2:8" x14ac:dyDescent="0.2">
      <c r="B28" t="s">
        <v>52</v>
      </c>
      <c r="C28" t="s">
        <v>106</v>
      </c>
      <c r="D28" t="s">
        <v>5</v>
      </c>
      <c r="E28" t="s">
        <v>96</v>
      </c>
      <c r="F28" t="s">
        <v>110</v>
      </c>
    </row>
    <row r="29" spans="2:8" x14ac:dyDescent="0.2">
      <c r="B29" t="s">
        <v>52</v>
      </c>
      <c r="C29" t="s">
        <v>107</v>
      </c>
      <c r="D29" t="s">
        <v>9</v>
      </c>
      <c r="E29" t="s">
        <v>110</v>
      </c>
      <c r="F29" t="s">
        <v>110</v>
      </c>
    </row>
    <row r="30" spans="2:8" x14ac:dyDescent="0.2">
      <c r="B30" t="s">
        <v>52</v>
      </c>
      <c r="C30" t="s">
        <v>107</v>
      </c>
      <c r="D30" t="s">
        <v>7</v>
      </c>
      <c r="E30" t="s">
        <v>90</v>
      </c>
      <c r="F30" t="s">
        <v>110</v>
      </c>
    </row>
    <row r="31" spans="2:8" x14ac:dyDescent="0.2">
      <c r="B31" t="s">
        <v>52</v>
      </c>
      <c r="C31" t="s">
        <v>108</v>
      </c>
      <c r="D31" t="s">
        <v>6</v>
      </c>
      <c r="E31" t="s">
        <v>110</v>
      </c>
      <c r="F31" t="s">
        <v>110</v>
      </c>
    </row>
    <row r="32" spans="2:8" x14ac:dyDescent="0.2">
      <c r="B32" t="s">
        <v>52</v>
      </c>
      <c r="C32" t="s">
        <v>47</v>
      </c>
      <c r="D32" t="s">
        <v>10</v>
      </c>
      <c r="E32" t="s">
        <v>35</v>
      </c>
      <c r="F32" t="s">
        <v>35</v>
      </c>
    </row>
    <row r="33" spans="2:6" x14ac:dyDescent="0.2">
      <c r="B33" t="s">
        <v>52</v>
      </c>
      <c r="C33" t="s">
        <v>86</v>
      </c>
      <c r="D33" t="s">
        <v>8</v>
      </c>
      <c r="E33" t="s">
        <v>39</v>
      </c>
      <c r="F33" t="s">
        <v>39</v>
      </c>
    </row>
    <row r="34" spans="2:6" x14ac:dyDescent="0.2">
      <c r="B34" t="s">
        <v>52</v>
      </c>
      <c r="C34" t="s">
        <v>86</v>
      </c>
      <c r="D34" t="s">
        <v>14</v>
      </c>
      <c r="E34" t="s">
        <v>95</v>
      </c>
      <c r="F34" t="s">
        <v>95</v>
      </c>
    </row>
    <row r="35" spans="2:6" x14ac:dyDescent="0.2">
      <c r="B35" t="s">
        <v>52</v>
      </c>
      <c r="C35" t="s">
        <v>86</v>
      </c>
      <c r="D35" t="s">
        <v>2</v>
      </c>
      <c r="E35" t="s">
        <v>92</v>
      </c>
      <c r="F35" t="s">
        <v>92</v>
      </c>
    </row>
    <row r="36" spans="2:6" x14ac:dyDescent="0.2">
      <c r="B36" t="s">
        <v>52</v>
      </c>
      <c r="C36" t="s">
        <v>86</v>
      </c>
      <c r="D36" t="s">
        <v>13</v>
      </c>
      <c r="E36" t="s">
        <v>110</v>
      </c>
      <c r="F36" t="s">
        <v>110</v>
      </c>
    </row>
    <row r="37" spans="2:6" x14ac:dyDescent="0.2">
      <c r="B37" t="s">
        <v>52</v>
      </c>
      <c r="C37" t="s">
        <v>26</v>
      </c>
      <c r="D37" t="s">
        <v>3</v>
      </c>
      <c r="E37" t="s">
        <v>87</v>
      </c>
      <c r="F37" t="s">
        <v>87</v>
      </c>
    </row>
    <row r="38" spans="2:6" x14ac:dyDescent="0.2">
      <c r="B38" t="s">
        <v>52</v>
      </c>
      <c r="C38" t="s">
        <v>26</v>
      </c>
      <c r="D38" t="s">
        <v>15</v>
      </c>
      <c r="E38" t="s">
        <v>88</v>
      </c>
      <c r="F38" t="s">
        <v>110</v>
      </c>
    </row>
    <row r="39" spans="2:6" x14ac:dyDescent="0.2">
      <c r="B39" t="s">
        <v>52</v>
      </c>
      <c r="C39" t="s">
        <v>109</v>
      </c>
      <c r="D39" t="s">
        <v>11</v>
      </c>
      <c r="E39" t="s">
        <v>93</v>
      </c>
      <c r="F39" t="s">
        <v>93</v>
      </c>
    </row>
    <row r="40" spans="2:6" x14ac:dyDescent="0.2">
      <c r="B40" t="s">
        <v>53</v>
      </c>
      <c r="C40" t="s">
        <v>46</v>
      </c>
      <c r="D40" t="s">
        <v>46</v>
      </c>
      <c r="E40" t="s">
        <v>25</v>
      </c>
      <c r="F40" t="s">
        <v>25</v>
      </c>
    </row>
    <row r="41" spans="2:6" x14ac:dyDescent="0.2">
      <c r="B41" t="s">
        <v>53</v>
      </c>
      <c r="C41" t="s">
        <v>106</v>
      </c>
      <c r="D41" t="s">
        <v>54</v>
      </c>
      <c r="E41" t="s">
        <v>28</v>
      </c>
      <c r="F41" t="s">
        <v>110</v>
      </c>
    </row>
    <row r="42" spans="2:6" x14ac:dyDescent="0.2">
      <c r="B42" t="s">
        <v>53</v>
      </c>
      <c r="C42" t="s">
        <v>107</v>
      </c>
      <c r="D42" t="s">
        <v>55</v>
      </c>
      <c r="E42" t="s">
        <v>90</v>
      </c>
      <c r="F42" t="s">
        <v>110</v>
      </c>
    </row>
    <row r="43" spans="2:6" x14ac:dyDescent="0.2">
      <c r="B43" t="s">
        <v>53</v>
      </c>
      <c r="C43" t="s">
        <v>47</v>
      </c>
      <c r="D43" t="s">
        <v>56</v>
      </c>
      <c r="E43" t="s">
        <v>37</v>
      </c>
      <c r="F43" t="s">
        <v>37</v>
      </c>
    </row>
    <row r="44" spans="2:6" x14ac:dyDescent="0.2">
      <c r="B44" t="s">
        <v>53</v>
      </c>
      <c r="C44" t="s">
        <v>86</v>
      </c>
      <c r="D44" t="s">
        <v>57</v>
      </c>
      <c r="E44" t="s">
        <v>39</v>
      </c>
      <c r="F44" t="s">
        <v>39</v>
      </c>
    </row>
    <row r="45" spans="2:6" x14ac:dyDescent="0.2">
      <c r="B45" t="s">
        <v>53</v>
      </c>
      <c r="C45" t="s">
        <v>109</v>
      </c>
      <c r="D45" t="s">
        <v>111</v>
      </c>
      <c r="E45" t="s">
        <v>35</v>
      </c>
      <c r="F45" t="s">
        <v>35</v>
      </c>
    </row>
    <row r="46" spans="2:6" x14ac:dyDescent="0.2">
      <c r="B46" t="s">
        <v>83</v>
      </c>
      <c r="C46" t="s">
        <v>46</v>
      </c>
      <c r="D46" s="5" t="s">
        <v>58</v>
      </c>
      <c r="E46" t="s">
        <v>25</v>
      </c>
      <c r="F46" t="s">
        <v>25</v>
      </c>
    </row>
    <row r="47" spans="2:6" x14ac:dyDescent="0.2">
      <c r="B47" t="s">
        <v>83</v>
      </c>
      <c r="C47" t="s">
        <v>46</v>
      </c>
      <c r="D47" s="5" t="s">
        <v>59</v>
      </c>
      <c r="E47" t="s">
        <v>25</v>
      </c>
      <c r="F47" t="s">
        <v>25</v>
      </c>
    </row>
    <row r="48" spans="2:6" x14ac:dyDescent="0.2">
      <c r="B48" t="s">
        <v>83</v>
      </c>
      <c r="C48" t="s">
        <v>46</v>
      </c>
      <c r="D48" s="5" t="s">
        <v>60</v>
      </c>
      <c r="E48" t="s">
        <v>37</v>
      </c>
      <c r="F48" t="s">
        <v>110</v>
      </c>
    </row>
    <row r="49" spans="2:6" x14ac:dyDescent="0.2">
      <c r="B49" t="s">
        <v>83</v>
      </c>
      <c r="C49" t="s">
        <v>106</v>
      </c>
      <c r="D49" s="5" t="s">
        <v>61</v>
      </c>
      <c r="E49" t="s">
        <v>96</v>
      </c>
      <c r="F49" t="s">
        <v>110</v>
      </c>
    </row>
    <row r="50" spans="2:6" x14ac:dyDescent="0.2">
      <c r="B50" t="s">
        <v>83</v>
      </c>
      <c r="C50" t="s">
        <v>106</v>
      </c>
      <c r="D50" s="5" t="s">
        <v>62</v>
      </c>
      <c r="E50" t="s">
        <v>96</v>
      </c>
      <c r="F50" t="s">
        <v>110</v>
      </c>
    </row>
    <row r="51" spans="2:6" x14ac:dyDescent="0.2">
      <c r="B51" t="s">
        <v>83</v>
      </c>
      <c r="C51" t="s">
        <v>106</v>
      </c>
      <c r="D51" s="5" t="s">
        <v>63</v>
      </c>
      <c r="E51" t="s">
        <v>28</v>
      </c>
      <c r="F51" t="s">
        <v>110</v>
      </c>
    </row>
    <row r="52" spans="2:6" x14ac:dyDescent="0.2">
      <c r="B52" t="s">
        <v>83</v>
      </c>
      <c r="C52" t="s">
        <v>106</v>
      </c>
      <c r="D52" s="5" t="s">
        <v>64</v>
      </c>
      <c r="E52" t="s">
        <v>110</v>
      </c>
      <c r="F52" t="s">
        <v>110</v>
      </c>
    </row>
    <row r="53" spans="2:6" x14ac:dyDescent="0.2">
      <c r="B53" t="s">
        <v>83</v>
      </c>
      <c r="C53" t="s">
        <v>108</v>
      </c>
      <c r="D53" s="5" t="s">
        <v>65</v>
      </c>
      <c r="E53" t="s">
        <v>110</v>
      </c>
      <c r="F53" t="s">
        <v>110</v>
      </c>
    </row>
    <row r="54" spans="2:6" x14ac:dyDescent="0.2">
      <c r="B54" t="s">
        <v>83</v>
      </c>
      <c r="C54" t="s">
        <v>108</v>
      </c>
      <c r="D54" s="5" t="s">
        <v>66</v>
      </c>
      <c r="E54" t="s">
        <v>91</v>
      </c>
      <c r="F54" t="s">
        <v>91</v>
      </c>
    </row>
    <row r="55" spans="2:6" x14ac:dyDescent="0.2">
      <c r="B55" t="s">
        <v>83</v>
      </c>
      <c r="C55" t="s">
        <v>108</v>
      </c>
      <c r="D55" s="5" t="s">
        <v>67</v>
      </c>
      <c r="E55" t="s">
        <v>110</v>
      </c>
      <c r="F55" t="s">
        <v>110</v>
      </c>
    </row>
    <row r="56" spans="2:6" x14ac:dyDescent="0.2">
      <c r="B56" t="s">
        <v>83</v>
      </c>
      <c r="C56" t="s">
        <v>108</v>
      </c>
      <c r="D56" s="5" t="s">
        <v>68</v>
      </c>
      <c r="E56" t="s">
        <v>110</v>
      </c>
      <c r="F56" t="s">
        <v>110</v>
      </c>
    </row>
    <row r="57" spans="2:6" x14ac:dyDescent="0.2">
      <c r="B57" t="s">
        <v>83</v>
      </c>
      <c r="C57" t="s">
        <v>108</v>
      </c>
      <c r="D57" s="5" t="s">
        <v>69</v>
      </c>
      <c r="E57" t="s">
        <v>110</v>
      </c>
      <c r="F57" t="s">
        <v>110</v>
      </c>
    </row>
    <row r="58" spans="2:6" x14ac:dyDescent="0.2">
      <c r="B58" t="s">
        <v>83</v>
      </c>
      <c r="C58" t="s">
        <v>47</v>
      </c>
      <c r="D58" s="5" t="s">
        <v>70</v>
      </c>
      <c r="E58" t="s">
        <v>110</v>
      </c>
      <c r="F58" t="s">
        <v>110</v>
      </c>
    </row>
    <row r="59" spans="2:6" x14ac:dyDescent="0.2">
      <c r="B59" t="s">
        <v>83</v>
      </c>
      <c r="C59" t="s">
        <v>47</v>
      </c>
      <c r="D59" s="5" t="s">
        <v>71</v>
      </c>
      <c r="E59" t="s">
        <v>37</v>
      </c>
      <c r="F59" t="s">
        <v>37</v>
      </c>
    </row>
    <row r="60" spans="2:6" x14ac:dyDescent="0.2">
      <c r="B60" t="s">
        <v>83</v>
      </c>
      <c r="C60" t="s">
        <v>47</v>
      </c>
      <c r="D60" s="5" t="s">
        <v>72</v>
      </c>
      <c r="E60" t="s">
        <v>37</v>
      </c>
      <c r="F60" t="s">
        <v>37</v>
      </c>
    </row>
    <row r="61" spans="2:6" x14ac:dyDescent="0.2">
      <c r="B61" t="s">
        <v>83</v>
      </c>
      <c r="C61" t="s">
        <v>47</v>
      </c>
      <c r="D61" s="5" t="s">
        <v>60</v>
      </c>
      <c r="E61" t="s">
        <v>94</v>
      </c>
    </row>
    <row r="62" spans="2:6" x14ac:dyDescent="0.2">
      <c r="B62" t="s">
        <v>83</v>
      </c>
      <c r="C62" t="s">
        <v>47</v>
      </c>
      <c r="D62" s="5" t="s">
        <v>73</v>
      </c>
      <c r="E62" t="s">
        <v>110</v>
      </c>
      <c r="F62" t="s">
        <v>110</v>
      </c>
    </row>
    <row r="63" spans="2:6" x14ac:dyDescent="0.2">
      <c r="B63" t="s">
        <v>83</v>
      </c>
      <c r="C63" t="s">
        <v>47</v>
      </c>
      <c r="D63" s="5" t="s">
        <v>74</v>
      </c>
      <c r="E63" t="s">
        <v>94</v>
      </c>
      <c r="F63" t="s">
        <v>110</v>
      </c>
    </row>
    <row r="64" spans="2:6" x14ac:dyDescent="0.2">
      <c r="B64" t="s">
        <v>83</v>
      </c>
      <c r="C64" t="s">
        <v>86</v>
      </c>
      <c r="D64" s="5" t="s">
        <v>75</v>
      </c>
      <c r="E64" t="s">
        <v>95</v>
      </c>
      <c r="F64" t="s">
        <v>95</v>
      </c>
    </row>
    <row r="65" spans="2:6" x14ac:dyDescent="0.2">
      <c r="B65" t="s">
        <v>83</v>
      </c>
      <c r="C65" t="s">
        <v>86</v>
      </c>
      <c r="D65" s="5" t="s">
        <v>76</v>
      </c>
      <c r="E65" t="s">
        <v>39</v>
      </c>
      <c r="F65" t="s">
        <v>39</v>
      </c>
    </row>
    <row r="66" spans="2:6" x14ac:dyDescent="0.2">
      <c r="B66" t="s">
        <v>83</v>
      </c>
      <c r="C66" t="s">
        <v>86</v>
      </c>
      <c r="D66" s="5" t="s">
        <v>77</v>
      </c>
      <c r="E66" t="s">
        <v>92</v>
      </c>
      <c r="F66" t="s">
        <v>92</v>
      </c>
    </row>
    <row r="67" spans="2:6" x14ac:dyDescent="0.2">
      <c r="B67" t="s">
        <v>83</v>
      </c>
      <c r="C67" t="s">
        <v>86</v>
      </c>
      <c r="D67" s="5" t="s">
        <v>78</v>
      </c>
      <c r="E67" t="s">
        <v>92</v>
      </c>
      <c r="F67" t="s">
        <v>92</v>
      </c>
    </row>
    <row r="68" spans="2:6" x14ac:dyDescent="0.2">
      <c r="B68" t="s">
        <v>83</v>
      </c>
      <c r="C68" t="s">
        <v>26</v>
      </c>
      <c r="D68" s="5" t="s">
        <v>79</v>
      </c>
      <c r="E68" t="s">
        <v>110</v>
      </c>
      <c r="F68" t="s">
        <v>110</v>
      </c>
    </row>
    <row r="69" spans="2:6" x14ac:dyDescent="0.2">
      <c r="B69" t="s">
        <v>83</v>
      </c>
      <c r="C69" t="s">
        <v>109</v>
      </c>
      <c r="D69" s="5" t="s">
        <v>75</v>
      </c>
      <c r="E69" t="s">
        <v>95</v>
      </c>
      <c r="F69" t="s">
        <v>95</v>
      </c>
    </row>
    <row r="70" spans="2:6" x14ac:dyDescent="0.2">
      <c r="B70" t="s">
        <v>83</v>
      </c>
      <c r="C70" t="s">
        <v>109</v>
      </c>
      <c r="D70" s="5" t="s">
        <v>80</v>
      </c>
      <c r="E70" t="s">
        <v>34</v>
      </c>
      <c r="F70" t="s">
        <v>34</v>
      </c>
    </row>
    <row r="71" spans="2:6" x14ac:dyDescent="0.2">
      <c r="B71" t="s">
        <v>83</v>
      </c>
      <c r="C71" t="s">
        <v>109</v>
      </c>
      <c r="D71" s="5" t="s">
        <v>81</v>
      </c>
      <c r="E71" t="s">
        <v>35</v>
      </c>
      <c r="F71" t="s">
        <v>35</v>
      </c>
    </row>
    <row r="72" spans="2:6" x14ac:dyDescent="0.2">
      <c r="B72" t="s">
        <v>83</v>
      </c>
      <c r="C72" t="s">
        <v>109</v>
      </c>
      <c r="D72" s="5" t="s">
        <v>82</v>
      </c>
      <c r="E72" t="s">
        <v>93</v>
      </c>
      <c r="F72" t="s">
        <v>93</v>
      </c>
    </row>
    <row r="73" spans="2:6" x14ac:dyDescent="0.2">
      <c r="B73" t="s">
        <v>84</v>
      </c>
      <c r="C73" t="s">
        <v>46</v>
      </c>
      <c r="D73" s="5" t="s">
        <v>46</v>
      </c>
      <c r="E73" t="s">
        <v>110</v>
      </c>
      <c r="F73" t="s">
        <v>110</v>
      </c>
    </row>
    <row r="74" spans="2:6" x14ac:dyDescent="0.2">
      <c r="B74" t="s">
        <v>84</v>
      </c>
      <c r="C74" t="s">
        <v>47</v>
      </c>
      <c r="D74" s="5" t="s">
        <v>85</v>
      </c>
      <c r="E74" t="s">
        <v>110</v>
      </c>
      <c r="F74" t="s">
        <v>110</v>
      </c>
    </row>
    <row r="75" spans="2:6" x14ac:dyDescent="0.2">
      <c r="B75" t="s">
        <v>84</v>
      </c>
      <c r="C75" t="s">
        <v>86</v>
      </c>
      <c r="D75" s="5" t="s">
        <v>86</v>
      </c>
      <c r="E75" t="s">
        <v>110</v>
      </c>
      <c r="F75" t="s">
        <v>110</v>
      </c>
    </row>
    <row r="76" spans="2:6" x14ac:dyDescent="0.2">
      <c r="D76" s="5"/>
    </row>
    <row r="77" spans="2:6" x14ac:dyDescent="0.2">
      <c r="D77" s="5"/>
    </row>
    <row r="78" spans="2:6" x14ac:dyDescent="0.2">
      <c r="D78" s="5"/>
    </row>
    <row r="100" spans="1:1" x14ac:dyDescent="0.2">
      <c r="A100" s="84"/>
    </row>
    <row r="101" spans="1:1" x14ac:dyDescent="0.2">
      <c r="A101" s="84"/>
    </row>
    <row r="102" spans="1:1" x14ac:dyDescent="0.2">
      <c r="A102" s="84"/>
    </row>
  </sheetData>
  <sortState xmlns:xlrd2="http://schemas.microsoft.com/office/spreadsheetml/2017/richdata2" ref="I2:I12">
    <sortCondition ref="I2:I12"/>
  </sortState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E818-5055-46F7-9773-CC2A55A40E8C}">
  <dimension ref="A1:Q83"/>
  <sheetViews>
    <sheetView workbookViewId="0">
      <selection activeCell="B34" sqref="B34"/>
    </sheetView>
  </sheetViews>
  <sheetFormatPr defaultRowHeight="15" x14ac:dyDescent="0.25"/>
  <cols>
    <col min="1" max="1" width="38" style="39" bestFit="1" customWidth="1"/>
    <col min="2" max="2" width="47.85546875" style="35" customWidth="1"/>
    <col min="3" max="3" width="49.5703125" style="35" customWidth="1"/>
    <col min="4" max="4" width="44.28515625" style="35" customWidth="1"/>
    <col min="5" max="5" width="34.85546875" style="35" customWidth="1"/>
    <col min="6" max="13" width="17" style="35" customWidth="1"/>
    <col min="14" max="14" width="22.5703125" style="35" bestFit="1" customWidth="1"/>
    <col min="15" max="15" width="37.28515625" style="35" bestFit="1" customWidth="1"/>
    <col min="16" max="16" width="11.42578125" style="35" bestFit="1" customWidth="1"/>
    <col min="17" max="17" width="32.5703125" style="35" bestFit="1" customWidth="1"/>
    <col min="18" max="16384" width="9.140625" style="35"/>
  </cols>
  <sheetData>
    <row r="1" spans="1:17" s="34" customFormat="1" x14ac:dyDescent="0.2">
      <c r="A1" s="34">
        <v>1</v>
      </c>
      <c r="B1" s="34">
        <v>2</v>
      </c>
      <c r="C1" s="34">
        <v>3</v>
      </c>
      <c r="D1" s="34">
        <v>4</v>
      </c>
      <c r="E1" s="34">
        <v>5</v>
      </c>
      <c r="F1" s="34">
        <v>6</v>
      </c>
      <c r="G1" s="34">
        <v>7</v>
      </c>
      <c r="H1" s="34">
        <v>8</v>
      </c>
      <c r="I1" s="34">
        <v>9</v>
      </c>
      <c r="J1" s="34">
        <v>10</v>
      </c>
      <c r="K1" s="34">
        <v>11</v>
      </c>
      <c r="L1" s="34">
        <v>12</v>
      </c>
      <c r="M1" s="34">
        <v>13</v>
      </c>
    </row>
    <row r="2" spans="1:17" ht="15.75" x14ac:dyDescent="0.3">
      <c r="A2" s="35" t="s">
        <v>161</v>
      </c>
      <c r="B2" s="36" t="s">
        <v>162</v>
      </c>
      <c r="C2" s="36" t="s">
        <v>163</v>
      </c>
      <c r="D2" s="36" t="s">
        <v>164</v>
      </c>
      <c r="E2" s="36" t="s">
        <v>165</v>
      </c>
      <c r="F2" s="36" t="s">
        <v>166</v>
      </c>
      <c r="G2" s="36" t="s">
        <v>167</v>
      </c>
      <c r="H2" s="36" t="s">
        <v>168</v>
      </c>
      <c r="I2" s="36" t="s">
        <v>169</v>
      </c>
      <c r="J2" s="36" t="s">
        <v>170</v>
      </c>
      <c r="K2" s="36" t="s">
        <v>171</v>
      </c>
      <c r="L2" s="36" t="s">
        <v>172</v>
      </c>
      <c r="M2" s="36" t="s">
        <v>173</v>
      </c>
      <c r="N2" s="36"/>
    </row>
    <row r="3" spans="1:17" ht="15.75" x14ac:dyDescent="0.3">
      <c r="A3" s="35" t="s">
        <v>174</v>
      </c>
      <c r="B3" s="36" t="s">
        <v>175</v>
      </c>
      <c r="C3" s="36" t="s">
        <v>163</v>
      </c>
      <c r="D3" s="36" t="s">
        <v>164</v>
      </c>
      <c r="E3" s="36" t="s">
        <v>165</v>
      </c>
      <c r="F3" s="36" t="s">
        <v>166</v>
      </c>
      <c r="G3" s="36" t="s">
        <v>167</v>
      </c>
      <c r="H3" s="36" t="s">
        <v>168</v>
      </c>
      <c r="I3" s="36" t="s">
        <v>170</v>
      </c>
      <c r="J3" s="36" t="s">
        <v>170</v>
      </c>
      <c r="K3" s="36" t="s">
        <v>171</v>
      </c>
      <c r="L3" s="36" t="s">
        <v>172</v>
      </c>
      <c r="M3" s="36" t="s">
        <v>173</v>
      </c>
      <c r="N3" s="36"/>
      <c r="O3" s="37"/>
      <c r="P3" s="37"/>
      <c r="Q3" s="37"/>
    </row>
    <row r="4" spans="1:17" ht="15.75" x14ac:dyDescent="0.3">
      <c r="A4" s="35" t="s">
        <v>176</v>
      </c>
      <c r="B4" s="36" t="s">
        <v>162</v>
      </c>
      <c r="C4" s="36" t="s">
        <v>163</v>
      </c>
      <c r="D4" s="36" t="s">
        <v>164</v>
      </c>
      <c r="E4" s="36" t="s">
        <v>165</v>
      </c>
      <c r="F4" s="36" t="s">
        <v>166</v>
      </c>
      <c r="G4" s="36" t="s">
        <v>167</v>
      </c>
      <c r="H4" s="36" t="s">
        <v>168</v>
      </c>
      <c r="I4" s="36" t="s">
        <v>169</v>
      </c>
      <c r="J4" s="36" t="s">
        <v>170</v>
      </c>
      <c r="K4" s="36" t="s">
        <v>171</v>
      </c>
      <c r="L4" s="36" t="s">
        <v>172</v>
      </c>
      <c r="M4" s="36" t="s">
        <v>173</v>
      </c>
      <c r="N4" s="36"/>
    </row>
    <row r="5" spans="1:17" ht="15.75" x14ac:dyDescent="0.3">
      <c r="A5" s="35" t="s">
        <v>177</v>
      </c>
      <c r="B5" s="36" t="s">
        <v>169</v>
      </c>
      <c r="C5" s="36" t="s">
        <v>178</v>
      </c>
      <c r="D5" s="36" t="s">
        <v>179</v>
      </c>
      <c r="E5" s="36" t="s">
        <v>180</v>
      </c>
      <c r="F5" s="36" t="s">
        <v>163</v>
      </c>
      <c r="G5" s="36" t="s">
        <v>172</v>
      </c>
      <c r="H5" s="36" t="s">
        <v>181</v>
      </c>
      <c r="I5" s="36" t="s">
        <v>182</v>
      </c>
      <c r="J5" s="36" t="s">
        <v>183</v>
      </c>
      <c r="K5" s="36" t="s">
        <v>184</v>
      </c>
      <c r="L5" s="36" t="s">
        <v>166</v>
      </c>
      <c r="M5" s="36" t="s">
        <v>185</v>
      </c>
      <c r="N5" s="36"/>
    </row>
    <row r="6" spans="1:17" ht="15.75" x14ac:dyDescent="0.3">
      <c r="A6" s="35" t="s">
        <v>186</v>
      </c>
      <c r="B6" s="36" t="s">
        <v>175</v>
      </c>
      <c r="C6" s="36" t="s">
        <v>187</v>
      </c>
      <c r="D6" s="36" t="s">
        <v>163</v>
      </c>
      <c r="E6" s="36" t="s">
        <v>188</v>
      </c>
      <c r="F6" s="36" t="s">
        <v>189</v>
      </c>
      <c r="G6" s="36" t="s">
        <v>166</v>
      </c>
      <c r="H6" s="36" t="s">
        <v>190</v>
      </c>
      <c r="I6" s="36" t="s">
        <v>191</v>
      </c>
      <c r="J6" s="36" t="s">
        <v>184</v>
      </c>
      <c r="K6" s="36" t="s">
        <v>192</v>
      </c>
      <c r="L6" s="36" t="s">
        <v>193</v>
      </c>
      <c r="M6" s="36" t="s">
        <v>172</v>
      </c>
      <c r="N6" s="36"/>
    </row>
    <row r="7" spans="1:17" ht="15.75" x14ac:dyDescent="0.3">
      <c r="A7" s="35" t="s">
        <v>194</v>
      </c>
      <c r="B7" s="36" t="s">
        <v>195</v>
      </c>
      <c r="C7" s="36" t="s">
        <v>196</v>
      </c>
      <c r="D7" s="36" t="s">
        <v>197</v>
      </c>
      <c r="E7" s="36" t="s">
        <v>198</v>
      </c>
      <c r="F7" s="36" t="s">
        <v>199</v>
      </c>
      <c r="G7" s="36" t="s">
        <v>200</v>
      </c>
      <c r="H7" s="36" t="s">
        <v>163</v>
      </c>
      <c r="I7" s="36" t="s">
        <v>201</v>
      </c>
      <c r="J7" s="36" t="s">
        <v>166</v>
      </c>
      <c r="K7" s="36" t="s">
        <v>173</v>
      </c>
      <c r="L7" s="36" t="s">
        <v>173</v>
      </c>
      <c r="M7" s="36" t="s">
        <v>173</v>
      </c>
      <c r="N7" s="36"/>
    </row>
    <row r="8" spans="1:17" ht="15.75" x14ac:dyDescent="0.3">
      <c r="A8" s="38"/>
      <c r="B8" s="36" t="s">
        <v>187</v>
      </c>
      <c r="C8" s="36" t="s">
        <v>197</v>
      </c>
      <c r="D8" s="36" t="s">
        <v>198</v>
      </c>
      <c r="E8" s="36" t="s">
        <v>199</v>
      </c>
      <c r="F8" s="36" t="s">
        <v>200</v>
      </c>
      <c r="G8" s="36" t="s">
        <v>163</v>
      </c>
      <c r="H8" s="36" t="s">
        <v>201</v>
      </c>
      <c r="I8" s="36" t="s">
        <v>166</v>
      </c>
      <c r="J8" s="36" t="s">
        <v>173</v>
      </c>
      <c r="K8" s="36" t="s">
        <v>173</v>
      </c>
      <c r="L8" s="36" t="s">
        <v>173</v>
      </c>
      <c r="M8" s="36" t="s">
        <v>173</v>
      </c>
      <c r="N8" s="36"/>
    </row>
    <row r="9" spans="1:17" ht="15.75" x14ac:dyDescent="0.3">
      <c r="A9" s="38"/>
      <c r="B9" s="36" t="s">
        <v>169</v>
      </c>
      <c r="C9" s="36" t="s">
        <v>202</v>
      </c>
      <c r="D9" s="36" t="s">
        <v>197</v>
      </c>
      <c r="E9" s="36" t="s">
        <v>198</v>
      </c>
      <c r="F9" s="36" t="s">
        <v>166</v>
      </c>
      <c r="G9" s="36" t="s">
        <v>184</v>
      </c>
      <c r="H9" s="36" t="s">
        <v>199</v>
      </c>
      <c r="I9" s="36" t="s">
        <v>163</v>
      </c>
      <c r="J9" s="36" t="s">
        <v>172</v>
      </c>
      <c r="K9" s="36" t="s">
        <v>173</v>
      </c>
      <c r="L9" s="36" t="s">
        <v>173</v>
      </c>
      <c r="M9" s="36" t="s">
        <v>173</v>
      </c>
      <c r="N9" s="36"/>
    </row>
    <row r="10" spans="1:17" ht="15.75" x14ac:dyDescent="0.3">
      <c r="A10" s="38"/>
      <c r="B10" s="36" t="s">
        <v>169</v>
      </c>
      <c r="C10" s="36" t="s">
        <v>197</v>
      </c>
      <c r="D10" s="36" t="s">
        <v>198</v>
      </c>
      <c r="E10" s="36" t="s">
        <v>199</v>
      </c>
      <c r="F10" s="36" t="s">
        <v>163</v>
      </c>
      <c r="G10" s="36" t="s">
        <v>172</v>
      </c>
      <c r="H10" s="36" t="s">
        <v>203</v>
      </c>
      <c r="I10" s="36" t="s">
        <v>183</v>
      </c>
      <c r="J10" s="36" t="s">
        <v>182</v>
      </c>
      <c r="K10" s="36" t="s">
        <v>184</v>
      </c>
      <c r="L10" s="36" t="s">
        <v>166</v>
      </c>
      <c r="M10" s="36" t="s">
        <v>162</v>
      </c>
      <c r="N10" s="36"/>
    </row>
    <row r="11" spans="1:17" ht="15.75" x14ac:dyDescent="0.3">
      <c r="A11" s="38"/>
      <c r="B11" s="36" t="s">
        <v>169</v>
      </c>
      <c r="C11" s="36" t="s">
        <v>197</v>
      </c>
      <c r="D11" s="36" t="s">
        <v>198</v>
      </c>
      <c r="E11" s="36" t="s">
        <v>199</v>
      </c>
      <c r="F11" s="36" t="s">
        <v>163</v>
      </c>
      <c r="G11" s="36" t="s">
        <v>172</v>
      </c>
      <c r="H11" s="36" t="s">
        <v>203</v>
      </c>
      <c r="I11" s="36" t="s">
        <v>183</v>
      </c>
      <c r="J11" s="36" t="s">
        <v>182</v>
      </c>
      <c r="K11" s="36" t="s">
        <v>184</v>
      </c>
      <c r="L11" s="36" t="s">
        <v>166</v>
      </c>
      <c r="M11" s="36" t="s">
        <v>162</v>
      </c>
      <c r="N11" s="36"/>
    </row>
    <row r="12" spans="1:17" ht="15.75" x14ac:dyDescent="0.3">
      <c r="A12" s="38"/>
      <c r="B12" s="36" t="s">
        <v>204</v>
      </c>
      <c r="C12" s="36" t="s">
        <v>205</v>
      </c>
      <c r="D12" s="36" t="s">
        <v>206</v>
      </c>
      <c r="E12" s="36" t="s">
        <v>207</v>
      </c>
      <c r="F12" s="36" t="s">
        <v>163</v>
      </c>
      <c r="G12" s="36" t="s">
        <v>208</v>
      </c>
      <c r="H12" s="36" t="s">
        <v>209</v>
      </c>
      <c r="I12" s="36" t="s">
        <v>210</v>
      </c>
      <c r="K12" s="36" t="s">
        <v>173</v>
      </c>
      <c r="L12" s="36" t="s">
        <v>173</v>
      </c>
      <c r="M12" s="36" t="s">
        <v>173</v>
      </c>
      <c r="N12" s="36"/>
    </row>
    <row r="13" spans="1:17" ht="15.75" x14ac:dyDescent="0.3">
      <c r="A13" s="38"/>
      <c r="B13" s="36" t="s">
        <v>204</v>
      </c>
      <c r="C13" s="36" t="s">
        <v>205</v>
      </c>
      <c r="D13" s="36" t="s">
        <v>206</v>
      </c>
      <c r="E13" s="36" t="s">
        <v>207</v>
      </c>
      <c r="F13" s="36" t="s">
        <v>163</v>
      </c>
      <c r="G13" s="36" t="s">
        <v>208</v>
      </c>
      <c r="H13" s="36" t="s">
        <v>209</v>
      </c>
      <c r="I13" s="36" t="s">
        <v>210</v>
      </c>
      <c r="K13" s="36" t="s">
        <v>173</v>
      </c>
      <c r="L13" s="36" t="s">
        <v>173</v>
      </c>
      <c r="M13" s="36" t="s">
        <v>173</v>
      </c>
      <c r="N13" s="36"/>
    </row>
    <row r="14" spans="1:17" ht="15.75" x14ac:dyDescent="0.3">
      <c r="A14" s="38"/>
      <c r="B14" s="36" t="s">
        <v>204</v>
      </c>
      <c r="C14" s="36" t="s">
        <v>205</v>
      </c>
      <c r="D14" s="36" t="s">
        <v>206</v>
      </c>
      <c r="E14" s="36" t="s">
        <v>207</v>
      </c>
      <c r="F14" s="36" t="s">
        <v>163</v>
      </c>
      <c r="G14" s="36" t="s">
        <v>208</v>
      </c>
      <c r="H14" s="36" t="s">
        <v>209</v>
      </c>
      <c r="I14" s="36" t="s">
        <v>210</v>
      </c>
      <c r="K14" s="36" t="s">
        <v>173</v>
      </c>
      <c r="L14" s="36" t="s">
        <v>173</v>
      </c>
      <c r="M14" s="36" t="s">
        <v>173</v>
      </c>
      <c r="N14" s="36"/>
    </row>
    <row r="15" spans="1:17" ht="15.75" x14ac:dyDescent="0.3">
      <c r="A15" s="38"/>
      <c r="B15" s="36" t="s">
        <v>204</v>
      </c>
      <c r="C15" s="36" t="s">
        <v>205</v>
      </c>
      <c r="D15" s="36" t="s">
        <v>206</v>
      </c>
      <c r="E15" s="36" t="s">
        <v>207</v>
      </c>
      <c r="F15" s="36" t="s">
        <v>163</v>
      </c>
      <c r="G15" s="36" t="s">
        <v>208</v>
      </c>
      <c r="H15" s="36" t="s">
        <v>209</v>
      </c>
      <c r="I15" s="36" t="s">
        <v>210</v>
      </c>
      <c r="K15" s="36" t="s">
        <v>173</v>
      </c>
      <c r="L15" s="36" t="s">
        <v>173</v>
      </c>
      <c r="M15" s="36" t="s">
        <v>173</v>
      </c>
      <c r="N15" s="36"/>
    </row>
    <row r="16" spans="1:17" ht="15.75" x14ac:dyDescent="0.3">
      <c r="A16" s="38"/>
      <c r="B16" s="36" t="s">
        <v>204</v>
      </c>
      <c r="C16" s="36" t="s">
        <v>205</v>
      </c>
      <c r="D16" s="36" t="s">
        <v>206</v>
      </c>
      <c r="E16" s="36" t="s">
        <v>207</v>
      </c>
      <c r="F16" s="36" t="s">
        <v>163</v>
      </c>
      <c r="G16" s="36" t="s">
        <v>208</v>
      </c>
      <c r="H16" s="36" t="s">
        <v>209</v>
      </c>
      <c r="I16" s="36" t="s">
        <v>210</v>
      </c>
      <c r="K16" s="36" t="s">
        <v>173</v>
      </c>
      <c r="L16" s="36" t="s">
        <v>173</v>
      </c>
      <c r="M16" s="36" t="s">
        <v>173</v>
      </c>
      <c r="N16" s="36"/>
    </row>
    <row r="17" spans="1:14" ht="15.75" x14ac:dyDescent="0.3">
      <c r="A17" s="38"/>
      <c r="B17" s="36" t="s">
        <v>211</v>
      </c>
      <c r="C17" s="36" t="s">
        <v>212</v>
      </c>
      <c r="D17" s="36" t="s">
        <v>213</v>
      </c>
      <c r="E17" s="36" t="s">
        <v>214</v>
      </c>
      <c r="F17" s="36" t="s">
        <v>215</v>
      </c>
      <c r="G17" s="36" t="s">
        <v>216</v>
      </c>
      <c r="H17" s="36" t="s">
        <v>217</v>
      </c>
      <c r="I17" s="36" t="s">
        <v>218</v>
      </c>
      <c r="J17" s="36" t="s">
        <v>173</v>
      </c>
      <c r="K17" s="36" t="s">
        <v>173</v>
      </c>
      <c r="L17" s="36" t="s">
        <v>173</v>
      </c>
      <c r="M17" s="36" t="s">
        <v>173</v>
      </c>
      <c r="N17" s="36"/>
    </row>
    <row r="18" spans="1:14" ht="15.75" x14ac:dyDescent="0.3">
      <c r="A18" s="38"/>
      <c r="B18" s="36" t="s">
        <v>211</v>
      </c>
      <c r="C18" s="36" t="s">
        <v>212</v>
      </c>
      <c r="D18" s="36" t="s">
        <v>213</v>
      </c>
      <c r="E18" s="36" t="s">
        <v>214</v>
      </c>
      <c r="F18" s="36" t="s">
        <v>215</v>
      </c>
      <c r="G18" s="36" t="s">
        <v>216</v>
      </c>
      <c r="H18" s="36" t="s">
        <v>217</v>
      </c>
      <c r="I18" s="36" t="s">
        <v>218</v>
      </c>
      <c r="J18" s="36" t="s">
        <v>173</v>
      </c>
      <c r="K18" s="36" t="s">
        <v>173</v>
      </c>
      <c r="L18" s="36" t="s">
        <v>173</v>
      </c>
      <c r="M18" s="36" t="s">
        <v>173</v>
      </c>
      <c r="N18" s="36"/>
    </row>
    <row r="19" spans="1:14" ht="15.75" x14ac:dyDescent="0.3">
      <c r="A19" s="38"/>
      <c r="B19" s="36" t="s">
        <v>211</v>
      </c>
      <c r="C19" s="36" t="s">
        <v>212</v>
      </c>
      <c r="D19" s="36" t="s">
        <v>213</v>
      </c>
      <c r="E19" s="36" t="s">
        <v>214</v>
      </c>
      <c r="F19" s="36" t="s">
        <v>215</v>
      </c>
      <c r="G19" s="36" t="s">
        <v>216</v>
      </c>
      <c r="H19" s="36" t="s">
        <v>217</v>
      </c>
      <c r="I19" s="36" t="s">
        <v>218</v>
      </c>
      <c r="J19" s="36" t="s">
        <v>173</v>
      </c>
      <c r="K19" s="36" t="s">
        <v>173</v>
      </c>
      <c r="L19" s="36" t="s">
        <v>173</v>
      </c>
      <c r="M19" s="36" t="s">
        <v>173</v>
      </c>
      <c r="N19" s="36"/>
    </row>
    <row r="20" spans="1:14" ht="15.75" x14ac:dyDescent="0.3">
      <c r="A20" s="38"/>
      <c r="B20" s="36" t="s">
        <v>211</v>
      </c>
      <c r="C20" s="36" t="s">
        <v>212</v>
      </c>
      <c r="D20" s="36" t="s">
        <v>213</v>
      </c>
      <c r="E20" s="36" t="s">
        <v>214</v>
      </c>
      <c r="F20" s="36" t="s">
        <v>215</v>
      </c>
      <c r="G20" s="36" t="s">
        <v>216</v>
      </c>
      <c r="H20" s="36" t="s">
        <v>217</v>
      </c>
      <c r="I20" s="36" t="s">
        <v>218</v>
      </c>
      <c r="J20" s="36" t="s">
        <v>173</v>
      </c>
      <c r="K20" s="36" t="s">
        <v>173</v>
      </c>
      <c r="L20" s="36" t="s">
        <v>173</v>
      </c>
      <c r="M20" s="36" t="s">
        <v>173</v>
      </c>
      <c r="N20" s="36"/>
    </row>
    <row r="21" spans="1:14" ht="15.75" x14ac:dyDescent="0.3">
      <c r="A21" s="38"/>
      <c r="B21" s="36" t="s">
        <v>211</v>
      </c>
      <c r="C21" s="36" t="s">
        <v>212</v>
      </c>
      <c r="D21" s="36" t="s">
        <v>213</v>
      </c>
      <c r="E21" s="36" t="s">
        <v>214</v>
      </c>
      <c r="F21" s="36" t="s">
        <v>215</v>
      </c>
      <c r="G21" s="36" t="s">
        <v>216</v>
      </c>
      <c r="H21" s="36" t="s">
        <v>217</v>
      </c>
      <c r="I21" s="36" t="s">
        <v>218</v>
      </c>
      <c r="J21" s="36" t="s">
        <v>173</v>
      </c>
      <c r="K21" s="36" t="s">
        <v>173</v>
      </c>
      <c r="L21" s="36" t="s">
        <v>173</v>
      </c>
      <c r="M21" s="36" t="s">
        <v>173</v>
      </c>
      <c r="N21" s="36"/>
    </row>
    <row r="22" spans="1:14" ht="15.75" x14ac:dyDescent="0.3">
      <c r="A22" s="38"/>
      <c r="B22" s="36" t="s">
        <v>211</v>
      </c>
      <c r="C22" s="36" t="s">
        <v>212</v>
      </c>
      <c r="D22" s="36" t="s">
        <v>213</v>
      </c>
      <c r="E22" s="36" t="s">
        <v>214</v>
      </c>
      <c r="F22" s="36" t="s">
        <v>215</v>
      </c>
      <c r="G22" s="36" t="s">
        <v>216</v>
      </c>
      <c r="H22" s="36" t="s">
        <v>217</v>
      </c>
      <c r="I22" s="36" t="s">
        <v>218</v>
      </c>
      <c r="J22" s="36" t="s">
        <v>173</v>
      </c>
      <c r="K22" s="36" t="s">
        <v>173</v>
      </c>
      <c r="L22" s="36" t="s">
        <v>173</v>
      </c>
      <c r="M22" s="36" t="s">
        <v>173</v>
      </c>
      <c r="N22" s="36"/>
    </row>
    <row r="23" spans="1:14" ht="15.75" x14ac:dyDescent="0.3">
      <c r="A23" s="38"/>
      <c r="B23" s="36" t="s">
        <v>211</v>
      </c>
      <c r="C23" s="36" t="s">
        <v>212</v>
      </c>
      <c r="D23" s="36" t="s">
        <v>213</v>
      </c>
      <c r="E23" s="36" t="s">
        <v>214</v>
      </c>
      <c r="F23" s="36" t="s">
        <v>215</v>
      </c>
      <c r="G23" s="36" t="s">
        <v>216</v>
      </c>
      <c r="H23" s="36" t="s">
        <v>217</v>
      </c>
      <c r="I23" s="36" t="s">
        <v>218</v>
      </c>
      <c r="J23" s="36" t="s">
        <v>173</v>
      </c>
      <c r="K23" s="36" t="s">
        <v>173</v>
      </c>
      <c r="L23" s="36" t="s">
        <v>173</v>
      </c>
      <c r="M23" s="36" t="s">
        <v>173</v>
      </c>
      <c r="N23" s="36"/>
    </row>
    <row r="24" spans="1:14" ht="15.75" x14ac:dyDescent="0.3">
      <c r="A24" s="38"/>
      <c r="B24" s="36" t="s">
        <v>219</v>
      </c>
      <c r="C24" s="36" t="s">
        <v>220</v>
      </c>
      <c r="D24" s="36" t="s">
        <v>221</v>
      </c>
      <c r="E24" s="36" t="s">
        <v>222</v>
      </c>
      <c r="F24" s="36" t="s">
        <v>223</v>
      </c>
      <c r="G24" s="36" t="s">
        <v>212</v>
      </c>
      <c r="H24" s="36" t="s">
        <v>211</v>
      </c>
      <c r="I24" s="36" t="s">
        <v>224</v>
      </c>
      <c r="J24" s="36" t="s">
        <v>173</v>
      </c>
      <c r="K24" s="36" t="s">
        <v>173</v>
      </c>
      <c r="L24" s="36" t="s">
        <v>173</v>
      </c>
      <c r="M24" s="36" t="s">
        <v>173</v>
      </c>
      <c r="N24" s="36"/>
    </row>
    <row r="25" spans="1:14" ht="15.75" x14ac:dyDescent="0.3">
      <c r="A25" s="38"/>
      <c r="B25" s="36" t="s">
        <v>219</v>
      </c>
      <c r="C25" s="36" t="s">
        <v>220</v>
      </c>
      <c r="D25" s="36" t="s">
        <v>221</v>
      </c>
      <c r="E25" s="36" t="s">
        <v>222</v>
      </c>
      <c r="F25" s="36" t="s">
        <v>223</v>
      </c>
      <c r="G25" s="36" t="s">
        <v>212</v>
      </c>
      <c r="H25" s="36" t="s">
        <v>225</v>
      </c>
      <c r="I25" s="36" t="s">
        <v>226</v>
      </c>
      <c r="J25" s="36" t="s">
        <v>227</v>
      </c>
      <c r="K25" s="36" t="s">
        <v>173</v>
      </c>
      <c r="L25" s="36" t="s">
        <v>173</v>
      </c>
      <c r="M25" s="36" t="s">
        <v>173</v>
      </c>
      <c r="N25" s="36"/>
    </row>
    <row r="26" spans="1:14" x14ac:dyDescent="0.25">
      <c r="A26" s="38"/>
      <c r="B26" s="35" t="s">
        <v>173</v>
      </c>
      <c r="C26" s="35" t="s">
        <v>173</v>
      </c>
      <c r="D26" s="35" t="s">
        <v>173</v>
      </c>
      <c r="E26" s="35" t="s">
        <v>173</v>
      </c>
      <c r="F26" s="35" t="s">
        <v>173</v>
      </c>
      <c r="G26" s="35" t="s">
        <v>173</v>
      </c>
      <c r="H26" s="35" t="s">
        <v>173</v>
      </c>
      <c r="I26" s="35" t="s">
        <v>173</v>
      </c>
      <c r="J26" s="35" t="s">
        <v>173</v>
      </c>
      <c r="K26" s="35" t="s">
        <v>173</v>
      </c>
      <c r="L26" s="35" t="s">
        <v>173</v>
      </c>
      <c r="M26" s="35" t="s">
        <v>173</v>
      </c>
    </row>
    <row r="36" spans="1:10" x14ac:dyDescent="0.25">
      <c r="D36" s="40"/>
    </row>
    <row r="37" spans="1:10" x14ac:dyDescent="0.25">
      <c r="B37" s="41" t="s">
        <v>228</v>
      </c>
      <c r="C37" s="41" t="s">
        <v>229</v>
      </c>
      <c r="D37" s="41" t="s">
        <v>230</v>
      </c>
      <c r="E37" s="42" t="s">
        <v>231</v>
      </c>
      <c r="F37" s="35" t="s">
        <v>232</v>
      </c>
      <c r="G37" s="41" t="s">
        <v>233</v>
      </c>
    </row>
    <row r="38" spans="1:10" x14ac:dyDescent="0.25">
      <c r="A38" s="35" t="s">
        <v>161</v>
      </c>
      <c r="B38" s="34" t="s">
        <v>234</v>
      </c>
      <c r="C38" s="34">
        <v>600</v>
      </c>
      <c r="D38" s="34">
        <v>700</v>
      </c>
      <c r="E38" s="34" t="s">
        <v>235</v>
      </c>
      <c r="G38" s="35">
        <v>0.6</v>
      </c>
      <c r="I38" s="34"/>
      <c r="J38" s="34"/>
    </row>
    <row r="39" spans="1:10" x14ac:dyDescent="0.25">
      <c r="A39" s="35" t="s">
        <v>174</v>
      </c>
      <c r="B39" s="34" t="s">
        <v>234</v>
      </c>
      <c r="C39" s="34">
        <v>600</v>
      </c>
      <c r="D39" s="34">
        <v>700</v>
      </c>
      <c r="E39" s="34" t="s">
        <v>235</v>
      </c>
      <c r="G39" s="35">
        <v>0.6</v>
      </c>
      <c r="I39" s="34"/>
      <c r="J39" s="34"/>
    </row>
    <row r="40" spans="1:10" x14ac:dyDescent="0.25">
      <c r="A40" s="35" t="s">
        <v>176</v>
      </c>
      <c r="B40" s="34" t="s">
        <v>234</v>
      </c>
      <c r="C40" s="34">
        <v>600</v>
      </c>
      <c r="D40" s="34">
        <v>700</v>
      </c>
      <c r="E40" s="34" t="s">
        <v>235</v>
      </c>
      <c r="G40" s="35">
        <v>0.6</v>
      </c>
      <c r="I40" s="34"/>
      <c r="J40" s="34"/>
    </row>
    <row r="41" spans="1:10" x14ac:dyDescent="0.25">
      <c r="A41" s="35" t="s">
        <v>177</v>
      </c>
      <c r="B41" s="34" t="s">
        <v>236</v>
      </c>
      <c r="C41" s="34">
        <v>700</v>
      </c>
      <c r="D41" s="34">
        <v>600</v>
      </c>
      <c r="E41" s="34" t="s">
        <v>237</v>
      </c>
      <c r="G41" s="35">
        <v>0.6</v>
      </c>
      <c r="I41" s="34"/>
      <c r="J41" s="34"/>
    </row>
    <row r="42" spans="1:10" x14ac:dyDescent="0.25">
      <c r="A42" s="35" t="s">
        <v>186</v>
      </c>
      <c r="B42" s="34" t="s">
        <v>236</v>
      </c>
      <c r="C42" s="34">
        <v>700</v>
      </c>
      <c r="D42" s="34">
        <v>600</v>
      </c>
      <c r="E42" s="34" t="s">
        <v>237</v>
      </c>
      <c r="G42" s="35">
        <v>0.6</v>
      </c>
      <c r="I42" s="34"/>
      <c r="J42" s="34"/>
    </row>
    <row r="43" spans="1:10" x14ac:dyDescent="0.25">
      <c r="A43" s="35" t="s">
        <v>194</v>
      </c>
      <c r="B43" s="34" t="s">
        <v>236</v>
      </c>
      <c r="C43" s="34">
        <v>700</v>
      </c>
      <c r="D43" s="34">
        <v>600</v>
      </c>
      <c r="E43" s="34" t="s">
        <v>237</v>
      </c>
      <c r="G43" s="35">
        <v>0.6</v>
      </c>
      <c r="I43" s="34"/>
      <c r="J43" s="34"/>
    </row>
    <row r="44" spans="1:10" x14ac:dyDescent="0.25">
      <c r="A44" s="35"/>
      <c r="B44" s="34"/>
      <c r="C44" s="34"/>
      <c r="D44" s="34"/>
      <c r="E44" s="34"/>
      <c r="I44" s="34"/>
      <c r="J44" s="34"/>
    </row>
    <row r="45" spans="1:10" x14ac:dyDescent="0.25">
      <c r="A45" s="35"/>
      <c r="B45" s="34"/>
      <c r="C45" s="34"/>
      <c r="D45" s="34"/>
      <c r="E45" s="34"/>
      <c r="I45" s="34"/>
      <c r="J45" s="34"/>
    </row>
    <row r="46" spans="1:10" x14ac:dyDescent="0.25">
      <c r="A46" s="35"/>
      <c r="B46" s="34"/>
      <c r="C46" s="34"/>
      <c r="D46" s="34"/>
      <c r="E46" s="34"/>
      <c r="I46" s="34"/>
      <c r="J46" s="34"/>
    </row>
    <row r="47" spans="1:10" x14ac:dyDescent="0.25">
      <c r="A47" s="35"/>
      <c r="B47" s="34"/>
      <c r="C47" s="34"/>
      <c r="D47" s="34"/>
      <c r="E47" s="34"/>
      <c r="I47" s="34"/>
      <c r="J47" s="34"/>
    </row>
    <row r="48" spans="1:10" x14ac:dyDescent="0.25">
      <c r="A48" s="35"/>
      <c r="B48" s="34"/>
      <c r="C48" s="34"/>
      <c r="D48" s="34"/>
      <c r="E48" s="34"/>
      <c r="I48" s="34"/>
      <c r="J48" s="34"/>
    </row>
    <row r="49" spans="1:10" x14ac:dyDescent="0.25">
      <c r="A49" s="35"/>
      <c r="B49" s="34"/>
      <c r="C49" s="34"/>
      <c r="D49" s="34"/>
      <c r="E49" s="34"/>
      <c r="F49" s="35" t="s">
        <v>238</v>
      </c>
      <c r="I49" s="34"/>
      <c r="J49" s="34"/>
    </row>
    <row r="50" spans="1:10" x14ac:dyDescent="0.25">
      <c r="A50" s="35"/>
      <c r="B50" s="34"/>
      <c r="C50" s="34"/>
      <c r="D50" s="34"/>
      <c r="E50" s="34"/>
      <c r="F50" s="35" t="s">
        <v>238</v>
      </c>
      <c r="I50" s="34"/>
      <c r="J50" s="34"/>
    </row>
    <row r="51" spans="1:10" x14ac:dyDescent="0.25">
      <c r="A51" s="35"/>
      <c r="B51" s="34"/>
      <c r="C51" s="34"/>
      <c r="D51" s="34"/>
      <c r="E51" s="34"/>
      <c r="F51" s="35" t="s">
        <v>238</v>
      </c>
      <c r="I51" s="34"/>
      <c r="J51" s="34"/>
    </row>
    <row r="52" spans="1:10" x14ac:dyDescent="0.25">
      <c r="A52" s="35"/>
      <c r="B52" s="34"/>
      <c r="C52" s="34"/>
      <c r="D52" s="34"/>
      <c r="E52" s="34"/>
      <c r="F52" s="35" t="s">
        <v>239</v>
      </c>
      <c r="I52" s="34"/>
      <c r="J52" s="34"/>
    </row>
    <row r="53" spans="1:10" x14ac:dyDescent="0.25">
      <c r="B53" s="34"/>
      <c r="C53" s="34"/>
      <c r="D53" s="34"/>
      <c r="E53" s="34"/>
      <c r="F53" s="35" t="s">
        <v>239</v>
      </c>
      <c r="I53" s="34"/>
      <c r="J53" s="34"/>
    </row>
    <row r="54" spans="1:10" x14ac:dyDescent="0.25">
      <c r="B54" s="34"/>
      <c r="C54" s="34"/>
      <c r="D54" s="34"/>
      <c r="E54" s="34"/>
      <c r="I54" s="34"/>
      <c r="J54" s="34"/>
    </row>
    <row r="55" spans="1:10" x14ac:dyDescent="0.25">
      <c r="B55" s="34"/>
      <c r="C55" s="34"/>
      <c r="D55" s="34"/>
      <c r="E55" s="34"/>
      <c r="I55" s="34"/>
      <c r="J55" s="34"/>
    </row>
    <row r="56" spans="1:10" x14ac:dyDescent="0.25">
      <c r="B56" s="34"/>
      <c r="C56" s="34"/>
      <c r="D56" s="34"/>
      <c r="E56" s="34"/>
      <c r="I56" s="34"/>
      <c r="J56" s="34"/>
    </row>
    <row r="57" spans="1:10" x14ac:dyDescent="0.25">
      <c r="B57" s="34"/>
      <c r="C57" s="34"/>
      <c r="D57" s="34"/>
      <c r="E57" s="34"/>
      <c r="I57" s="34"/>
      <c r="J57" s="34"/>
    </row>
    <row r="58" spans="1:10" x14ac:dyDescent="0.25">
      <c r="B58" s="34"/>
      <c r="C58" s="34"/>
      <c r="D58" s="34"/>
      <c r="E58" s="34"/>
      <c r="I58" s="34"/>
      <c r="J58" s="34"/>
    </row>
    <row r="59" spans="1:10" x14ac:dyDescent="0.25">
      <c r="B59" s="34"/>
      <c r="C59" s="34"/>
      <c r="D59" s="34"/>
      <c r="E59" s="34"/>
      <c r="I59" s="34"/>
      <c r="J59" s="34"/>
    </row>
    <row r="60" spans="1:10" x14ac:dyDescent="0.25">
      <c r="B60" s="34"/>
      <c r="C60" s="34"/>
      <c r="D60" s="34"/>
      <c r="E60" s="34"/>
      <c r="I60" s="34"/>
      <c r="J60" s="34"/>
    </row>
    <row r="61" spans="1:10" x14ac:dyDescent="0.25">
      <c r="B61" s="34"/>
      <c r="C61" s="34"/>
      <c r="D61" s="34"/>
      <c r="E61" s="34"/>
      <c r="I61" s="34"/>
      <c r="J61" s="34"/>
    </row>
    <row r="62" spans="1:10" x14ac:dyDescent="0.25">
      <c r="B62" s="34"/>
      <c r="C62" s="34"/>
      <c r="D62" s="34"/>
      <c r="E62" s="34"/>
      <c r="I62" s="34"/>
      <c r="J62" s="34"/>
    </row>
    <row r="63" spans="1:10" x14ac:dyDescent="0.25">
      <c r="B63" s="34"/>
      <c r="C63" s="34"/>
      <c r="D63" s="34"/>
      <c r="E63" s="34"/>
      <c r="I63" s="34"/>
      <c r="J63" s="34"/>
    </row>
    <row r="67" spans="1:5" x14ac:dyDescent="0.25">
      <c r="A67" s="39" t="s">
        <v>240</v>
      </c>
      <c r="B67" s="35" t="s">
        <v>241</v>
      </c>
      <c r="C67" s="35" t="s">
        <v>242</v>
      </c>
      <c r="D67" s="35" t="s">
        <v>243</v>
      </c>
    </row>
    <row r="68" spans="1:5" x14ac:dyDescent="0.25">
      <c r="A68" s="39">
        <v>0</v>
      </c>
      <c r="B68" s="35" t="s">
        <v>244</v>
      </c>
      <c r="C68" s="35" t="s">
        <v>244</v>
      </c>
      <c r="D68" s="35" t="s">
        <v>244</v>
      </c>
    </row>
    <row r="69" spans="1:5" x14ac:dyDescent="0.25">
      <c r="A69" s="39">
        <v>50</v>
      </c>
      <c r="B69" s="35" t="s">
        <v>244</v>
      </c>
      <c r="C69" s="35" t="s">
        <v>244</v>
      </c>
      <c r="D69" s="35" t="s">
        <v>244</v>
      </c>
    </row>
    <row r="70" spans="1:5" x14ac:dyDescent="0.25">
      <c r="A70" s="39">
        <v>70</v>
      </c>
      <c r="B70" s="35" t="s">
        <v>245</v>
      </c>
      <c r="C70" s="35" t="s">
        <v>245</v>
      </c>
      <c r="D70" s="35" t="s">
        <v>245</v>
      </c>
    </row>
    <row r="71" spans="1:5" x14ac:dyDescent="0.25">
      <c r="A71" s="39">
        <v>100</v>
      </c>
      <c r="B71" s="35" t="s">
        <v>246</v>
      </c>
      <c r="C71" s="35" t="s">
        <v>246</v>
      </c>
      <c r="D71" s="35" t="s">
        <v>246</v>
      </c>
    </row>
    <row r="72" spans="1:5" x14ac:dyDescent="0.25">
      <c r="A72" s="39">
        <v>130</v>
      </c>
      <c r="B72" s="35" t="s">
        <v>247</v>
      </c>
      <c r="C72" s="35" t="s">
        <v>247</v>
      </c>
      <c r="D72" s="35" t="s">
        <v>247</v>
      </c>
    </row>
    <row r="73" spans="1:5" x14ac:dyDescent="0.25">
      <c r="A73" s="39">
        <v>150</v>
      </c>
      <c r="B73" s="35" t="s">
        <v>248</v>
      </c>
      <c r="C73" s="35" t="s">
        <v>248</v>
      </c>
      <c r="D73" s="35" t="s">
        <v>248</v>
      </c>
    </row>
    <row r="74" spans="1:5" x14ac:dyDescent="0.25">
      <c r="A74" s="39">
        <v>180</v>
      </c>
      <c r="B74" s="35" t="s">
        <v>249</v>
      </c>
      <c r="C74" s="35" t="s">
        <v>249</v>
      </c>
      <c r="D74" s="35" t="s">
        <v>249</v>
      </c>
    </row>
    <row r="75" spans="1:5" x14ac:dyDescent="0.25">
      <c r="A75" s="39">
        <v>200</v>
      </c>
      <c r="B75" s="35" t="s">
        <v>250</v>
      </c>
      <c r="C75" s="35" t="s">
        <v>250</v>
      </c>
      <c r="D75" s="35" t="s">
        <v>250</v>
      </c>
    </row>
    <row r="76" spans="1:5" x14ac:dyDescent="0.25">
      <c r="A76" s="39">
        <v>250</v>
      </c>
      <c r="B76" s="35" t="s">
        <v>250</v>
      </c>
      <c r="C76" s="35" t="s">
        <v>250</v>
      </c>
      <c r="D76" s="35" t="s">
        <v>250</v>
      </c>
    </row>
    <row r="77" spans="1:5" x14ac:dyDescent="0.25">
      <c r="A77" s="39">
        <v>300</v>
      </c>
      <c r="B77" s="35" t="s">
        <v>251</v>
      </c>
      <c r="C77" s="35" t="s">
        <v>251</v>
      </c>
      <c r="D77" s="35" t="s">
        <v>251</v>
      </c>
    </row>
    <row r="79" spans="1:5" x14ac:dyDescent="0.25">
      <c r="A79" s="35" t="s">
        <v>252</v>
      </c>
      <c r="B79" s="35">
        <v>0.47</v>
      </c>
      <c r="C79" s="35" t="s">
        <v>238</v>
      </c>
      <c r="D79" s="34"/>
      <c r="E79" s="34"/>
    </row>
    <row r="80" spans="1:5" x14ac:dyDescent="0.25">
      <c r="A80" s="35" t="s">
        <v>253</v>
      </c>
      <c r="B80" s="35">
        <v>0.47699999999999998</v>
      </c>
      <c r="C80" s="35" t="s">
        <v>238</v>
      </c>
      <c r="D80" s="34"/>
      <c r="E80" s="34"/>
    </row>
    <row r="81" spans="1:5" x14ac:dyDescent="0.25">
      <c r="A81" s="35" t="s">
        <v>254</v>
      </c>
      <c r="B81" s="35">
        <v>0.55000000000000004</v>
      </c>
      <c r="C81" s="35" t="s">
        <v>238</v>
      </c>
      <c r="D81" s="34"/>
      <c r="E81" s="34"/>
    </row>
    <row r="82" spans="1:5" x14ac:dyDescent="0.25">
      <c r="A82" s="35" t="s">
        <v>255</v>
      </c>
      <c r="B82" s="35">
        <v>0.51</v>
      </c>
      <c r="C82" s="35" t="s">
        <v>239</v>
      </c>
      <c r="D82" s="34"/>
      <c r="E82" s="34"/>
    </row>
    <row r="83" spans="1:5" x14ac:dyDescent="0.25">
      <c r="A83" s="39" t="s">
        <v>256</v>
      </c>
      <c r="B83" s="35">
        <v>0.35</v>
      </c>
      <c r="C83" s="35" t="s">
        <v>239</v>
      </c>
      <c r="D83" s="34"/>
      <c r="E83" s="3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AEF6-06E6-4B77-87C0-883490891753}">
  <dimension ref="A1:K56"/>
  <sheetViews>
    <sheetView showGridLines="0" zoomScaleNormal="100" workbookViewId="0">
      <selection activeCell="I4" sqref="I4"/>
    </sheetView>
  </sheetViews>
  <sheetFormatPr defaultColWidth="9.140625" defaultRowHeight="15" x14ac:dyDescent="0.3"/>
  <cols>
    <col min="1" max="1" width="5.5703125" style="46" customWidth="1"/>
    <col min="2" max="2" width="63.7109375" style="46" customWidth="1"/>
    <col min="3" max="4" width="13.28515625" style="46" customWidth="1"/>
    <col min="5" max="5" width="6" style="46" customWidth="1"/>
    <col min="6" max="6" width="83.7109375" style="46" customWidth="1"/>
    <col min="7" max="7" width="9.140625" style="46" customWidth="1"/>
    <col min="8" max="9" width="12" style="46" customWidth="1"/>
    <col min="10" max="12" width="9.140625" style="46" customWidth="1"/>
    <col min="13" max="13" width="6.7109375" style="46" customWidth="1"/>
    <col min="14" max="15" width="9.7109375" style="46" customWidth="1"/>
    <col min="16" max="16384" width="9.140625" style="46"/>
  </cols>
  <sheetData>
    <row r="1" spans="1:11" ht="15" customHeight="1" x14ac:dyDescent="0.3">
      <c r="A1" s="43"/>
      <c r="B1" s="44"/>
      <c r="C1" s="45"/>
      <c r="D1" s="45"/>
      <c r="E1" s="45"/>
      <c r="F1" s="45"/>
    </row>
    <row r="2" spans="1:11" ht="15" customHeight="1" thickBot="1" x14ac:dyDescent="0.35">
      <c r="A2" s="43"/>
      <c r="B2" s="47" t="s">
        <v>260</v>
      </c>
      <c r="C2" s="45"/>
      <c r="D2" s="45"/>
      <c r="E2" s="45"/>
      <c r="F2" s="48"/>
      <c r="G2" s="48" t="s">
        <v>261</v>
      </c>
      <c r="H2" s="48" t="s">
        <v>262</v>
      </c>
      <c r="I2" s="48" t="s">
        <v>263</v>
      </c>
    </row>
    <row r="3" spans="1:11" ht="30.75" customHeight="1" x14ac:dyDescent="0.3">
      <c r="A3" s="43"/>
      <c r="B3" s="49" t="s">
        <v>264</v>
      </c>
      <c r="C3" s="149" t="s">
        <v>161</v>
      </c>
      <c r="D3" s="150"/>
      <c r="E3" s="45"/>
      <c r="F3" s="50" t="s">
        <v>265</v>
      </c>
      <c r="G3" s="51"/>
      <c r="H3" s="51"/>
      <c r="I3" s="51"/>
    </row>
    <row r="4" spans="1:11" ht="15" customHeight="1" x14ac:dyDescent="0.3">
      <c r="A4" s="43"/>
      <c r="B4" s="52" t="s">
        <v>257</v>
      </c>
      <c r="C4" s="151">
        <f>Калькулятор!C7</f>
        <v>0</v>
      </c>
      <c r="D4" s="151"/>
      <c r="E4" s="45"/>
      <c r="F4" s="53" t="s">
        <v>244</v>
      </c>
      <c r="G4" s="54" t="s">
        <v>266</v>
      </c>
      <c r="H4" s="55">
        <f>IF(C11*C12=0,3.1,((((CEILING((C11/(C20*0.001)+1),1))*(CEILING((C12/(C25*0.001)+1),1)))/(C39-C10))))</f>
        <v>3.15</v>
      </c>
      <c r="I4" s="56">
        <f>CEILING(((H4*(C39-C13)*1.1)),5)</f>
        <v>135</v>
      </c>
    </row>
    <row r="5" spans="1:11" ht="15" customHeight="1" x14ac:dyDescent="0.3">
      <c r="A5" s="43"/>
      <c r="B5" s="52" t="s">
        <v>258</v>
      </c>
      <c r="C5" s="152" t="str">
        <f>Калькулятор!C8</f>
        <v>газобетон от D500</v>
      </c>
      <c r="D5" s="153"/>
      <c r="E5" s="45"/>
      <c r="F5" s="53" t="str">
        <f>IF(C12&gt;12,"Уплотнитель паронитовый 80х80 (142407)","Уплотнитель паронитовый 80х80 (142407)")</f>
        <v>Уплотнитель паронитовый 80х80 (142407)</v>
      </c>
      <c r="G5" s="54" t="s">
        <v>266</v>
      </c>
      <c r="H5" s="55">
        <f>IF(C11*C12=0,3.2,((((CEILING((C11/(C20*0.001)+1),1))*(CEILING((C12/(C25*0.001)+1),1)))/(C39-C10))))</f>
        <v>3.15</v>
      </c>
      <c r="I5" s="56">
        <f>CEILING(((H4*(C39-C13)*1.1)),5)</f>
        <v>135</v>
      </c>
    </row>
    <row r="6" spans="1:11" ht="15" customHeight="1" x14ac:dyDescent="0.3">
      <c r="A6" s="45"/>
      <c r="E6" s="45"/>
      <c r="F6" s="53" t="str">
        <f>IF(C3="Фибросайдинг Горизонт","Профиль вер. Основной Т-обр. AR BO69х50х1.2Т ОЦ ОН (152337)",IF(C3="Фибросайдинг вертикаль","Профиль вер. Основной Т-обр. AR BO69х50х1.2Т ОЦ ОН (152337)",IF(C3="планкен горизонт","Профиль вер. Основной Т-обр. AR BO69х50х1.2Т ОЦ ОН (152337)",IF(C3="планкен вертикаль","Профиль вер. Основной Т-обр. AR BO69х50х1.2Т ОЦ ОН (152337)",IF(C3="аквапанель вертикаль","Профиль вер. Основной Т-обр. AR BO69х50х1.2Т ОЦ ОН (152337)","Профиль вер. Основной Т-обр. AR BO69х50х1.2Т ОЦ ОН (152337)")))))</f>
        <v>Профиль вер. Основной Т-обр. AR BO69х50х1.2Т ОЦ ОН (152337)</v>
      </c>
      <c r="G6" s="54" t="s">
        <v>267</v>
      </c>
      <c r="H6" s="55">
        <f>IF(C11*C12=0,1.2,IF(C19="Вертикальная",(((CEILING((C11/(C20/1000))+1,1)*C12)*(0.6)*1.1)/(C39-C10)),(((CEILING((C12/(C25/1000))+1,1)*C11)*(0.6)*1.1)/(C39-C10))))</f>
        <v>1.1879999999999999</v>
      </c>
      <c r="I6" s="56">
        <f>CEILING(H6*(C39-C13),3)</f>
        <v>48</v>
      </c>
    </row>
    <row r="7" spans="1:11" ht="15" customHeight="1" x14ac:dyDescent="0.3">
      <c r="A7" s="45"/>
      <c r="E7" s="45"/>
      <c r="F7" s="53" t="s">
        <v>268</v>
      </c>
      <c r="G7" s="54" t="s">
        <v>267</v>
      </c>
      <c r="H7" s="55">
        <f>IF(C11*C12=0,0.8,IF(C19="Вертикальная",(((CEILING((C11/(C20/1000))+1,1)*C12)*(0.4)*1.1)/(C39-C10)),(((CEILING((C12/(C25/1000))+1,1)*C11)*(0.4)*1.1)/(C39-C10))))</f>
        <v>0.79200000000000004</v>
      </c>
      <c r="I7" s="56">
        <f>CEILING(H7*(C39-C13),3)</f>
        <v>33</v>
      </c>
    </row>
    <row r="8" spans="1:11" x14ac:dyDescent="0.3">
      <c r="A8" s="44"/>
      <c r="B8" s="57" t="s">
        <v>269</v>
      </c>
      <c r="E8" s="44"/>
      <c r="F8" s="53" t="s">
        <v>270</v>
      </c>
      <c r="G8" s="54" t="s">
        <v>267</v>
      </c>
      <c r="H8" s="55" t="s">
        <v>173</v>
      </c>
      <c r="I8" s="56">
        <v>15</v>
      </c>
      <c r="J8" s="44"/>
      <c r="K8" s="58"/>
    </row>
    <row r="9" spans="1:11" x14ac:dyDescent="0.3">
      <c r="A9" s="44"/>
      <c r="E9" s="44"/>
      <c r="F9" s="59" t="s">
        <v>271</v>
      </c>
      <c r="G9" s="54" t="s">
        <v>267</v>
      </c>
      <c r="H9" s="60" t="s">
        <v>173</v>
      </c>
      <c r="I9" s="60">
        <f>CEILING(C14*1.1,3)</f>
        <v>12</v>
      </c>
      <c r="J9" s="44"/>
      <c r="K9" s="44"/>
    </row>
    <row r="10" spans="1:11" ht="30" x14ac:dyDescent="0.3">
      <c r="B10" s="49" t="s">
        <v>272</v>
      </c>
      <c r="C10" s="152">
        <f>Калькулятор!M12+Калькулятор!M3+Калькулятор!M6</f>
        <v>0</v>
      </c>
      <c r="D10" s="153"/>
      <c r="F10" s="53" t="str">
        <f>IF(C12&lt;=6, "Заклепка вытяжная 4х10 нерж\нерж (по 500 шт) (198945) или саморез 4,8х19 без шайбы (500 шт) (233293)", "Заклепка вытяжная 4х10 нерж\нерж (по 500 шт) (338462)")</f>
        <v>Заклепка вытяжная 4х10 нерж\нерж (по 500 шт) (198945) или саморез 4,8х19 без шайбы (500 шт) (233293)</v>
      </c>
      <c r="G10" s="54" t="s">
        <v>273</v>
      </c>
      <c r="H10" s="55"/>
      <c r="I10" s="56">
        <f>CEILING(I4*2,500)</f>
        <v>500</v>
      </c>
      <c r="J10" s="44"/>
      <c r="K10" s="44"/>
    </row>
    <row r="11" spans="1:11" x14ac:dyDescent="0.3">
      <c r="A11" s="61"/>
      <c r="B11" s="52" t="s">
        <v>274</v>
      </c>
      <c r="C11" s="152">
        <f>SUM(Калькулятор!C5:F5)</f>
        <v>10</v>
      </c>
      <c r="D11" s="153"/>
      <c r="F11" s="53" t="str">
        <f>IF(C5="пустотелый кирпич","Шпилька , втулка (упаковка 200шт) RAWLPLUG (475135)",
IF(C5="керамзитобетон","Анкерный дюбель Rawlplug 10х120 (419942)",
IF(C5="дерево","Саморез 8х80 глухарь (148521)",
IF(C5="бетон","Анкерный дюбель 10х100 (582572)",IF(C5="газобетон от D500","Анкерный дюбель Rawlplug 10х100 (264637)",
IF(C5="полнотелый кирпич","Анкерный дюбель 10х100 (582572)"))))))</f>
        <v>Анкерный дюбель Rawlplug 10х100 (264637)</v>
      </c>
      <c r="G11" s="54" t="str">
        <f>IF(F11="Саморез 8х80 глухарь (148521)","шт","шт")</f>
        <v>шт</v>
      </c>
      <c r="H11" s="55" t="s">
        <v>173</v>
      </c>
      <c r="I11" s="56">
        <f>IF(OR(F11="Анкерный дюбель Rawlplug 10х100 (264637)",F11="Саморез 8х80 глухарь (148521)",F11="Анкерный дюбель Rawlplug 10х120 (419942)"),I4,CEILING(I4,5))</f>
        <v>135</v>
      </c>
      <c r="J11" s="44"/>
      <c r="K11" s="44"/>
    </row>
    <row r="12" spans="1:11" x14ac:dyDescent="0.3">
      <c r="B12" s="52" t="s">
        <v>120</v>
      </c>
      <c r="C12" s="152">
        <f>Калькулятор!C6</f>
        <v>4</v>
      </c>
      <c r="D12" s="153"/>
      <c r="F12" s="59" t="str">
        <f>IF(F11="Шпилька , втулка (упаковка 200шт) RAWLPLUG (475135)","Пистолет (475138)","-")</f>
        <v>-</v>
      </c>
      <c r="G12" s="54" t="str">
        <f>IF(F12="-","","шт")</f>
        <v/>
      </c>
      <c r="H12" s="55" t="s">
        <v>173</v>
      </c>
      <c r="I12" s="60" t="str">
        <f>IF(F11="Шпилька , втулка (упаковка 200шт) RAWLPLUG (475135)",1,"-")</f>
        <v>-</v>
      </c>
      <c r="J12" s="44"/>
      <c r="K12" s="44"/>
    </row>
    <row r="13" spans="1:11" x14ac:dyDescent="0.3">
      <c r="A13" s="62"/>
      <c r="B13" s="52" t="s">
        <v>275</v>
      </c>
      <c r="C13" s="152">
        <f>SUM(Калькулятор!D13,Калькулятор!F13,Калькулятор!H13,Калькулятор!J13,Калькулятор!D17,Калькулятор!F17,Калькулятор!H17,Калькулятор!J17)</f>
        <v>2</v>
      </c>
      <c r="D13" s="153"/>
      <c r="F13" s="59" t="str">
        <f>IF(F11="Шпилька , втулка (упаковка 200шт) RAWLPLUG (475135)","Гильза (упаковка 10 шт)(475137)","-")</f>
        <v>-</v>
      </c>
      <c r="G13" s="54" t="str">
        <f>IF(F13="-","","шт")</f>
        <v/>
      </c>
      <c r="H13" s="60" t="s">
        <v>173</v>
      </c>
      <c r="I13" s="60" t="str">
        <f>IF(F13="-","-",CEILING(I4,10))</f>
        <v>-</v>
      </c>
      <c r="J13" s="44"/>
      <c r="K13" s="44"/>
    </row>
    <row r="14" spans="1:11" x14ac:dyDescent="0.3">
      <c r="B14" s="52" t="s">
        <v>276</v>
      </c>
      <c r="C14" s="152">
        <f>CEILING((Калькулятор!C13+Калькулятор!C14*2)*Калькулятор!D13+(Калькулятор!E13+Калькулятор!E14*2)*Калькулятор!F13+(Калькулятор!G13+Калькулятор!G14*2)*Калькулятор!H13+(Калькулятор!I13+Калькулятор!I14*2)*Калькулятор!J13+(Калькулятор!C17+Калькулятор!C18*2)*Калькулятор!D17+(Калькулятор!E17+Калькулятор!E18*2)*Калькулятор!F17+(Калькулятор!G17+Калькулятор!G18*2)*Калькулятор!H17+(Калькулятор!I17+Калькулятор!I18*2)*Калькулятор!J17,1)</f>
        <v>10</v>
      </c>
      <c r="D14" s="153"/>
      <c r="F14" s="59" t="str">
        <f>IF(F11="Шпилька , втулка (упаковка 200шт) RAWLPLUG (475135)","Химический раствор для анкера (8 туб в коробке)(475136)","-")</f>
        <v>-</v>
      </c>
      <c r="G14" s="54" t="str">
        <f>IF(F14="-","","туба")</f>
        <v/>
      </c>
      <c r="H14" s="60" t="s">
        <v>173</v>
      </c>
      <c r="I14" s="63" t="str">
        <f>IF(F14="-","-",CEILING(I4/7.5,1))</f>
        <v>-</v>
      </c>
      <c r="J14" s="44"/>
      <c r="K14" s="44"/>
    </row>
    <row r="15" spans="1:11" x14ac:dyDescent="0.3">
      <c r="A15" s="62"/>
      <c r="B15" s="52" t="s">
        <v>277</v>
      </c>
      <c r="C15" s="152">
        <f>Калькулятор!D21</f>
        <v>1</v>
      </c>
      <c r="D15" s="153"/>
      <c r="F15" s="53" t="str">
        <f>IF(C4=50,"Утеплитель Техноблок Стандарт 45 1200х600х50мм (123162)",IF(C4=150,"Утеплитель 150 мм", IF(C4=100,"Утеплитель Техноблок Стандарт 45 1200х600х100мм (129596)","-")))</f>
        <v>-</v>
      </c>
      <c r="G15" s="54" t="str">
        <f>IF(F15="-","","уп.")</f>
        <v/>
      </c>
      <c r="H15" s="55" t="str">
        <f>IF(F15="-","",1.1)</f>
        <v/>
      </c>
      <c r="I15" s="56" t="str">
        <f>IFERROR(IF(F15="Утеплитель Техноблок Стандарт 45 1200х600х100мм (129596)",CEILING(H15*(C39-C13)/4.32,1), IF(C4=150,"на выбор", CEILING((C39-C13)*H15/5.76,1))),"-")</f>
        <v>-</v>
      </c>
      <c r="J15" s="44"/>
      <c r="K15" s="44"/>
    </row>
    <row r="16" spans="1:11" x14ac:dyDescent="0.3">
      <c r="B16" s="52" t="s">
        <v>278</v>
      </c>
      <c r="C16" s="152">
        <f>Калькулятор!C21</f>
        <v>5</v>
      </c>
      <c r="D16" s="153"/>
      <c r="F16" s="53" t="str">
        <f>IF(C4=150,"Дюбель для утеплителя с металлическим гвоздем IZM 10х200мм (151558)",IF(C4=100,"Дюбель для утеплителя с металлическим гвоздем IZM 10х160мм (122125) или Дюбель для утеплителя с пластиковым гвоздем IZO 10х160мм (122121)",IF(C4=50,"Дюбель для утеплителя с пластиковым гвоздем IZO 10х90мм (122119) или Дюбель для утеплителя с пластик. гвоздем IZМ 10х90мм (122122)","-")))</f>
        <v>-</v>
      </c>
      <c r="G16" s="54" t="str">
        <f>IF(F16="-","","шт")</f>
        <v/>
      </c>
      <c r="H16" s="55" t="str">
        <f>IF(F16="-","",7)</f>
        <v/>
      </c>
      <c r="I16" s="56" t="str">
        <f>IFERROR(IF(F16="Дюбель для утеплителя с пластиковым гвоздем IZO 10х90мм (122119) или Дюбель для утеплителя с пластик. гвоздем IZМ 10х90мм (122122)",CEILING(H16*(C39-C13),500), IF(F16="Дюбель для утеплителя с металлическим гвоздем IZM 10х200мм (151558)", CEILING(H16*(C39-C13),300), CEILING(H16*(C39-C13),400))),"-")</f>
        <v>-</v>
      </c>
      <c r="J16" s="44"/>
      <c r="K16" s="44"/>
    </row>
    <row r="17" spans="1:11" ht="29.25" customHeight="1" x14ac:dyDescent="0.3">
      <c r="J17" s="44"/>
      <c r="K17" s="44"/>
    </row>
    <row r="18" spans="1:11" x14ac:dyDescent="0.3">
      <c r="B18" s="64" t="s">
        <v>279</v>
      </c>
      <c r="J18" s="44"/>
      <c r="K18" s="44"/>
    </row>
    <row r="19" spans="1:11" ht="15.75" customHeight="1" x14ac:dyDescent="0.3">
      <c r="B19" s="65" t="s">
        <v>280</v>
      </c>
      <c r="C19" s="151" t="s">
        <v>234</v>
      </c>
      <c r="D19" s="151"/>
      <c r="J19" s="44"/>
      <c r="K19" s="44"/>
    </row>
    <row r="20" spans="1:11" x14ac:dyDescent="0.3">
      <c r="B20" s="143" t="s">
        <v>281</v>
      </c>
      <c r="C20" s="144">
        <v>600</v>
      </c>
      <c r="D20" s="144" t="s">
        <v>282</v>
      </c>
      <c r="K20" s="66"/>
    </row>
    <row r="21" spans="1:11" x14ac:dyDescent="0.3">
      <c r="B21" s="143"/>
      <c r="C21" s="144"/>
      <c r="D21" s="144"/>
      <c r="K21" s="66"/>
    </row>
    <row r="22" spans="1:11" x14ac:dyDescent="0.3">
      <c r="B22" s="143"/>
      <c r="C22" s="144"/>
      <c r="D22" s="144"/>
      <c r="K22" s="66"/>
    </row>
    <row r="23" spans="1:11" x14ac:dyDescent="0.3">
      <c r="B23" s="143"/>
      <c r="C23" s="144"/>
      <c r="D23" s="144"/>
      <c r="K23" s="66"/>
    </row>
    <row r="24" spans="1:11" x14ac:dyDescent="0.3">
      <c r="B24" s="143"/>
      <c r="C24" s="144"/>
      <c r="D24" s="144"/>
      <c r="K24" s="66"/>
    </row>
    <row r="25" spans="1:11" x14ac:dyDescent="0.3">
      <c r="B25" s="143" t="s">
        <v>283</v>
      </c>
      <c r="C25" s="144">
        <v>700</v>
      </c>
      <c r="D25" s="144" t="s">
        <v>282</v>
      </c>
      <c r="K25" s="66"/>
    </row>
    <row r="26" spans="1:11" x14ac:dyDescent="0.3">
      <c r="B26" s="143"/>
      <c r="C26" s="144"/>
      <c r="D26" s="144"/>
      <c r="K26" s="66"/>
    </row>
    <row r="27" spans="1:11" x14ac:dyDescent="0.3">
      <c r="B27" s="143"/>
      <c r="C27" s="144"/>
      <c r="D27" s="144"/>
      <c r="K27" s="66"/>
    </row>
    <row r="28" spans="1:11" x14ac:dyDescent="0.3">
      <c r="B28" s="143"/>
      <c r="C28" s="144"/>
      <c r="D28" s="144"/>
      <c r="K28" s="66"/>
    </row>
    <row r="29" spans="1:11" ht="15.75" customHeight="1" x14ac:dyDescent="0.3">
      <c r="B29" s="143"/>
      <c r="C29" s="144"/>
      <c r="D29" s="144"/>
      <c r="K29" s="44"/>
    </row>
    <row r="30" spans="1:11" ht="15" customHeight="1" x14ac:dyDescent="0.3">
      <c r="A30" s="67"/>
      <c r="K30" s="44"/>
    </row>
    <row r="31" spans="1:11" ht="15" customHeight="1" x14ac:dyDescent="0.3">
      <c r="A31" s="68"/>
      <c r="B31" s="69" t="s">
        <v>284</v>
      </c>
      <c r="E31" s="70"/>
      <c r="K31" s="44"/>
    </row>
    <row r="32" spans="1:11" ht="15" customHeight="1" x14ac:dyDescent="0.3">
      <c r="A32" s="68"/>
      <c r="B32" s="145" t="s">
        <v>285</v>
      </c>
      <c r="C32" s="146"/>
      <c r="D32" s="147"/>
      <c r="E32" s="70"/>
      <c r="K32" s="44"/>
    </row>
    <row r="33" spans="1:11" ht="15" customHeight="1" x14ac:dyDescent="0.3">
      <c r="A33" s="68"/>
      <c r="B33" s="148" t="s">
        <v>286</v>
      </c>
      <c r="C33" s="148"/>
      <c r="D33" s="148"/>
      <c r="E33" s="70"/>
      <c r="K33" s="44"/>
    </row>
    <row r="34" spans="1:11" ht="15" customHeight="1" x14ac:dyDescent="0.3">
      <c r="B34" s="148"/>
      <c r="C34" s="148"/>
      <c r="D34" s="148"/>
      <c r="K34" s="44"/>
    </row>
    <row r="35" spans="1:11" x14ac:dyDescent="0.3">
      <c r="B35" s="148"/>
      <c r="C35" s="148"/>
      <c r="D35" s="148"/>
      <c r="K35" s="44"/>
    </row>
    <row r="36" spans="1:11" x14ac:dyDescent="0.3">
      <c r="B36" s="148" t="s">
        <v>287</v>
      </c>
      <c r="C36" s="148"/>
      <c r="D36" s="148"/>
      <c r="E36" s="71"/>
      <c r="K36" s="44"/>
    </row>
    <row r="37" spans="1:11" x14ac:dyDescent="0.3">
      <c r="B37" s="148"/>
      <c r="C37" s="148"/>
      <c r="D37" s="148"/>
      <c r="E37" s="72"/>
      <c r="K37" s="44"/>
    </row>
    <row r="38" spans="1:11" x14ac:dyDescent="0.3">
      <c r="B38" s="148"/>
      <c r="C38" s="148"/>
      <c r="D38" s="148"/>
      <c r="E38" s="72"/>
      <c r="F38" s="73" t="s">
        <v>288</v>
      </c>
      <c r="G38" s="73" t="s">
        <v>289</v>
      </c>
      <c r="K38" s="44"/>
    </row>
    <row r="39" spans="1:11" x14ac:dyDescent="0.3">
      <c r="B39" s="74" t="s">
        <v>290</v>
      </c>
      <c r="C39" s="141">
        <f>C11*C12+C10</f>
        <v>40</v>
      </c>
      <c r="D39" s="142"/>
      <c r="E39" s="75"/>
      <c r="F39" s="73" t="s">
        <v>291</v>
      </c>
      <c r="G39" s="73" t="s">
        <v>292</v>
      </c>
    </row>
    <row r="40" spans="1:11" x14ac:dyDescent="0.3">
      <c r="E40" s="75"/>
    </row>
    <row r="41" spans="1:11" x14ac:dyDescent="0.3">
      <c r="E41" s="75"/>
    </row>
    <row r="42" spans="1:11" x14ac:dyDescent="0.3">
      <c r="A42" s="72"/>
      <c r="E42" s="75"/>
    </row>
    <row r="43" spans="1:11" x14ac:dyDescent="0.3">
      <c r="A43" s="72"/>
      <c r="E43" s="75"/>
    </row>
    <row r="44" spans="1:11" x14ac:dyDescent="0.3">
      <c r="E44" s="76"/>
    </row>
    <row r="45" spans="1:11" x14ac:dyDescent="0.3">
      <c r="A45" s="77"/>
      <c r="E45" s="77"/>
    </row>
    <row r="46" spans="1:11" x14ac:dyDescent="0.3">
      <c r="E46" s="76"/>
    </row>
    <row r="47" spans="1:11" x14ac:dyDescent="0.3">
      <c r="A47" s="67"/>
      <c r="E47" s="44"/>
    </row>
    <row r="48" spans="1:11" x14ac:dyDescent="0.3">
      <c r="A48" s="44"/>
      <c r="E48" s="44"/>
    </row>
    <row r="56" ht="15.75" customHeight="1" x14ac:dyDescent="0.3"/>
  </sheetData>
  <sheetProtection selectLockedCells="1"/>
  <dataConsolidate>
    <dataRefs count="1">
      <dataRef ref="H16" sheet="Фибро+НФС" r:id="rId1"/>
    </dataRefs>
  </dataConsolidate>
  <mergeCells count="21">
    <mergeCell ref="B20:B24"/>
    <mergeCell ref="C20:C24"/>
    <mergeCell ref="D20:D24"/>
    <mergeCell ref="C3:D3"/>
    <mergeCell ref="C4:D4"/>
    <mergeCell ref="C5:D5"/>
    <mergeCell ref="C10:D10"/>
    <mergeCell ref="C11:D11"/>
    <mergeCell ref="C12:D12"/>
    <mergeCell ref="C13:D13"/>
    <mergeCell ref="C14:D14"/>
    <mergeCell ref="C15:D15"/>
    <mergeCell ref="C16:D16"/>
    <mergeCell ref="C19:D19"/>
    <mergeCell ref="C39:D39"/>
    <mergeCell ref="B25:B29"/>
    <mergeCell ref="C25:C29"/>
    <mergeCell ref="D25:D29"/>
    <mergeCell ref="B32:D32"/>
    <mergeCell ref="B33:D35"/>
    <mergeCell ref="B36:D38"/>
  </mergeCells>
  <dataValidations count="3">
    <dataValidation type="list" allowBlank="1" showInputMessage="1" showErrorMessage="1" sqref="C4:D4" xr:uid="{9884CAF5-4510-40A3-82F5-286579A63751}">
      <formula1>"0,50,70,100,130,150,180,200,250"</formula1>
    </dataValidation>
    <dataValidation type="list" allowBlank="1" showInputMessage="1" showErrorMessage="1" sqref="C5:D5" xr:uid="{06BDA74A-5871-49F7-BB29-751FE7585E55}">
      <formula1>"бетон, полнотелый кирпич, газобетон от D500, керамзитобетон, дерево, пустотелый кирпич"</formula1>
    </dataValidation>
    <dataValidation type="list" allowBlank="1" showInputMessage="1" showErrorMessage="1" sqref="C3:D3" xr:uid="{5683798D-CA19-49FB-B690-A4B4A407E456}">
      <formula1>BOEHT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4C51-315C-44F5-B500-553E64BE37CA}">
  <sheetPr>
    <pageSetUpPr fitToPage="1"/>
  </sheetPr>
  <dimension ref="B1:E18"/>
  <sheetViews>
    <sheetView showGridLines="0" zoomScaleNormal="100" workbookViewId="0">
      <selection activeCell="E2" sqref="E2"/>
    </sheetView>
  </sheetViews>
  <sheetFormatPr defaultColWidth="9.140625" defaultRowHeight="18" x14ac:dyDescent="0.2"/>
  <cols>
    <col min="1" max="1" width="9.140625" style="1"/>
    <col min="2" max="2" width="34.85546875" style="1" customWidth="1"/>
    <col min="3" max="3" width="9.140625" style="1"/>
    <col min="4" max="4" width="24.140625" style="1" customWidth="1"/>
    <col min="5" max="16384" width="9.140625" style="1"/>
  </cols>
  <sheetData>
    <row r="1" spans="2:5" x14ac:dyDescent="0.2">
      <c r="B1" s="10"/>
      <c r="C1" s="10"/>
      <c r="D1" s="10"/>
      <c r="E1" s="10"/>
    </row>
    <row r="2" spans="2:5" x14ac:dyDescent="0.2">
      <c r="B2" s="79" t="s">
        <v>332</v>
      </c>
      <c r="C2" s="79" t="s">
        <v>333</v>
      </c>
      <c r="D2" s="79" t="s">
        <v>334</v>
      </c>
    </row>
    <row r="3" spans="2:5" ht="112.5" customHeight="1" x14ac:dyDescent="0.2">
      <c r="B3" s="10" t="s">
        <v>301</v>
      </c>
      <c r="C3" s="79" t="s">
        <v>335</v>
      </c>
      <c r="D3" s="85"/>
      <c r="E3" s="85"/>
    </row>
    <row r="4" spans="2:5" ht="112.5" customHeight="1" x14ac:dyDescent="0.2">
      <c r="B4" s="10" t="s">
        <v>132</v>
      </c>
      <c r="C4" s="85" t="s">
        <v>329</v>
      </c>
      <c r="D4" s="85"/>
      <c r="E4" s="85"/>
    </row>
    <row r="5" spans="2:5" ht="112.5" customHeight="1" x14ac:dyDescent="0.2">
      <c r="B5" s="10" t="s">
        <v>133</v>
      </c>
      <c r="C5" s="85" t="s">
        <v>330</v>
      </c>
      <c r="D5" s="85"/>
      <c r="E5" s="85"/>
    </row>
    <row r="6" spans="2:5" ht="112.5" customHeight="1" x14ac:dyDescent="0.2">
      <c r="B6" s="10" t="s">
        <v>131</v>
      </c>
      <c r="C6" s="85" t="s">
        <v>331</v>
      </c>
      <c r="D6" s="85"/>
      <c r="E6" s="85"/>
    </row>
    <row r="7" spans="2:5" x14ac:dyDescent="0.2">
      <c r="B7" s="10"/>
      <c r="C7" s="79"/>
      <c r="D7" s="85"/>
      <c r="E7" s="85"/>
    </row>
    <row r="8" spans="2:5" x14ac:dyDescent="0.2">
      <c r="B8" s="10"/>
      <c r="C8" s="79"/>
      <c r="D8" s="85"/>
      <c r="E8" s="85"/>
    </row>
    <row r="9" spans="2:5" x14ac:dyDescent="0.2">
      <c r="B9" s="10"/>
      <c r="C9" s="10"/>
      <c r="D9" s="85"/>
      <c r="E9" s="85"/>
    </row>
    <row r="10" spans="2:5" x14ac:dyDescent="0.2">
      <c r="B10" s="10"/>
      <c r="C10" s="10"/>
      <c r="D10" s="85"/>
      <c r="E10" s="85"/>
    </row>
    <row r="11" spans="2:5" x14ac:dyDescent="0.2">
      <c r="B11" s="10"/>
      <c r="C11" s="10"/>
      <c r="D11" s="10"/>
      <c r="E11" s="10"/>
    </row>
    <row r="12" spans="2:5" x14ac:dyDescent="0.2">
      <c r="B12" s="10"/>
      <c r="C12" s="10"/>
      <c r="D12" s="10"/>
      <c r="E12" s="10"/>
    </row>
    <row r="13" spans="2:5" x14ac:dyDescent="0.2">
      <c r="B13" s="10"/>
      <c r="C13" s="10"/>
      <c r="D13" s="10"/>
      <c r="E13" s="10"/>
    </row>
    <row r="14" spans="2:5" x14ac:dyDescent="0.2">
      <c r="B14" s="10"/>
      <c r="C14" s="10"/>
      <c r="D14" s="10"/>
      <c r="E14" s="10"/>
    </row>
    <row r="15" spans="2:5" x14ac:dyDescent="0.2">
      <c r="B15" s="10"/>
      <c r="C15" s="10"/>
      <c r="D15" s="10"/>
      <c r="E15" s="10"/>
    </row>
    <row r="16" spans="2:5" x14ac:dyDescent="0.2">
      <c r="B16" s="10"/>
      <c r="C16" s="10"/>
      <c r="D16" s="10"/>
      <c r="E16" s="10"/>
    </row>
    <row r="17" spans="2:5" x14ac:dyDescent="0.2">
      <c r="B17" s="10"/>
      <c r="C17" s="10"/>
      <c r="D17" s="10"/>
      <c r="E17" s="10"/>
    </row>
    <row r="18" spans="2:5" x14ac:dyDescent="0.2">
      <c r="B18" s="10"/>
      <c r="C18" s="10"/>
      <c r="D18" s="10"/>
      <c r="E18" s="10"/>
    </row>
  </sheetData>
  <pageMargins left="0.23622047244094491" right="0.23622047244094491" top="0.74803149606299213" bottom="0.74803149606299213" header="0.31496062992125984" footer="0.31496062992125984"/>
  <pageSetup paperSize="9" scale="41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11</vt:i4>
      </vt:variant>
    </vt:vector>
  </HeadingPairs>
  <TitlesOfParts>
    <vt:vector size="16" baseType="lpstr">
      <vt:lpstr>Калькулятор</vt:lpstr>
      <vt:lpstr>1</vt:lpstr>
      <vt:lpstr>2</vt:lpstr>
      <vt:lpstr>3</vt:lpstr>
      <vt:lpstr>4</vt:lpstr>
      <vt:lpstr>BOEHT</vt:lpstr>
      <vt:lpstr>Cedral</vt:lpstr>
      <vt:lpstr>CM_Bord</vt:lpstr>
      <vt:lpstr>Decover</vt:lpstr>
      <vt:lpstr>dvs</vt:lpstr>
      <vt:lpstr>Latonit</vt:lpstr>
      <vt:lpstr>mans</vt:lpstr>
      <vt:lpstr>no</vt:lpstr>
      <vt:lpstr>trap</vt:lpstr>
      <vt:lpstr>Бэтеко</vt:lpstr>
      <vt:lpstr>Фибратек</vt:lpstr>
    </vt:vector>
  </TitlesOfParts>
  <Company>Eternit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</dc:creator>
  <cp:lastModifiedBy>Алексей Кузнецов</cp:lastModifiedBy>
  <cp:lastPrinted>2023-07-27T10:59:07Z</cp:lastPrinted>
  <dcterms:created xsi:type="dcterms:W3CDTF">2013-04-25T05:06:15Z</dcterms:created>
  <dcterms:modified xsi:type="dcterms:W3CDTF">2023-10-20T09:00:58Z</dcterms:modified>
</cp:coreProperties>
</file>